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Postorna_Knihovna\_DPS\_ PDF tisk DPS\03 ROZPOCTY + PRILOHY\"/>
    </mc:Choice>
  </mc:AlternateContent>
  <xr:revisionPtr revIDLastSave="0" documentId="13_ncr:1_{3754DBFA-28C6-4B39-B832-0A56A9EB3F49}" xr6:coauthVersionLast="47" xr6:coauthVersionMax="47" xr10:uidLastSave="{00000000-0000-0000-0000-000000000000}"/>
  <bookViews>
    <workbookView xWindow="28680" yWindow="75" windowWidth="29040" windowHeight="15840" activeTab="3" xr2:uid="{00000000-000D-0000-FFFF-FFFF00000000}"/>
  </bookViews>
  <sheets>
    <sheet name="Krycí list rozpočtu" sheetId="1" r:id="rId1"/>
    <sheet name="VORN" sheetId="2" state="hidden" r:id="rId2"/>
    <sheet name="Stavební rozpočet" sheetId="3" r:id="rId3"/>
    <sheet name="Rozpočet - práce" sheetId="4" r:id="rId4"/>
    <sheet name="Rozpočet - materiál" sheetId="5" r:id="rId5"/>
  </sheets>
  <definedNames>
    <definedName name="vorn_sum">VORN!$I$39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F80" i="5" l="1"/>
  <c r="AO80" i="5"/>
  <c r="AK80" i="5"/>
  <c r="AJ80" i="5"/>
  <c r="AG80" i="5"/>
  <c r="AF80" i="5"/>
  <c r="AE80" i="5"/>
  <c r="AD80" i="5"/>
  <c r="AC80" i="5"/>
  <c r="AB80" i="5"/>
  <c r="Z80" i="5"/>
  <c r="G80" i="5"/>
  <c r="F80" i="5"/>
  <c r="BF78" i="5"/>
  <c r="AO78" i="5"/>
  <c r="AK78" i="5"/>
  <c r="AJ78" i="5"/>
  <c r="AG78" i="5"/>
  <c r="AF78" i="5"/>
  <c r="AE78" i="5"/>
  <c r="AD78" i="5"/>
  <c r="AC78" i="5"/>
  <c r="AB78" i="5"/>
  <c r="Z78" i="5"/>
  <c r="G78" i="5"/>
  <c r="BD78" i="5" s="1"/>
  <c r="F78" i="5"/>
  <c r="BJ77" i="5"/>
  <c r="AH77" i="5" s="1"/>
  <c r="BF77" i="5"/>
  <c r="BD77" i="5"/>
  <c r="AK77" i="5"/>
  <c r="AJ77" i="5"/>
  <c r="AG77" i="5"/>
  <c r="AF77" i="5"/>
  <c r="AE77" i="5"/>
  <c r="AD77" i="5"/>
  <c r="AC77" i="5"/>
  <c r="AB77" i="5"/>
  <c r="Z77" i="5"/>
  <c r="I77" i="5"/>
  <c r="G77" i="5"/>
  <c r="AP77" i="5" s="1"/>
  <c r="F77" i="5"/>
  <c r="BI77" i="5" s="1"/>
  <c r="BJ76" i="5"/>
  <c r="AH76" i="5" s="1"/>
  <c r="BF76" i="5"/>
  <c r="BD76" i="5"/>
  <c r="AP76" i="5"/>
  <c r="I76" i="5" s="1"/>
  <c r="AK76" i="5"/>
  <c r="AJ76" i="5"/>
  <c r="AG76" i="5"/>
  <c r="AF76" i="5"/>
  <c r="AE76" i="5"/>
  <c r="AD76" i="5"/>
  <c r="AC76" i="5"/>
  <c r="AB76" i="5"/>
  <c r="Z76" i="5"/>
  <c r="H76" i="5"/>
  <c r="G76" i="5"/>
  <c r="AO76" i="5" s="1"/>
  <c r="F76" i="5"/>
  <c r="BH76" i="5" s="1"/>
  <c r="AT75" i="5"/>
  <c r="AS75" i="5"/>
  <c r="BF72" i="5"/>
  <c r="AK72" i="5"/>
  <c r="AT67" i="5" s="1"/>
  <c r="AJ72" i="5"/>
  <c r="AG72" i="5"/>
  <c r="AF72" i="5"/>
  <c r="AE72" i="5"/>
  <c r="AD72" i="5"/>
  <c r="AC72" i="5"/>
  <c r="AB72" i="5"/>
  <c r="Z72" i="5"/>
  <c r="G72" i="5"/>
  <c r="F72" i="5"/>
  <c r="BF70" i="5"/>
  <c r="AP70" i="5"/>
  <c r="AK70" i="5"/>
  <c r="AJ70" i="5"/>
  <c r="AG70" i="5"/>
  <c r="AF70" i="5"/>
  <c r="AE70" i="5"/>
  <c r="AD70" i="5"/>
  <c r="AC70" i="5"/>
  <c r="AB70" i="5"/>
  <c r="Z70" i="5"/>
  <c r="J70" i="5"/>
  <c r="AL70" i="5" s="1"/>
  <c r="G70" i="5"/>
  <c r="BD70" i="5" s="1"/>
  <c r="F70" i="5"/>
  <c r="BF68" i="5"/>
  <c r="AO68" i="5"/>
  <c r="BH68" i="5" s="1"/>
  <c r="AL68" i="5"/>
  <c r="AK68" i="5"/>
  <c r="AJ68" i="5"/>
  <c r="AG68" i="5"/>
  <c r="AF68" i="5"/>
  <c r="AE68" i="5"/>
  <c r="AD68" i="5"/>
  <c r="AC68" i="5"/>
  <c r="AB68" i="5"/>
  <c r="Z68" i="5"/>
  <c r="J68" i="5"/>
  <c r="G68" i="5"/>
  <c r="BD68" i="5" s="1"/>
  <c r="F68" i="5"/>
  <c r="BF64" i="5"/>
  <c r="AO64" i="5"/>
  <c r="BH64" i="5" s="1"/>
  <c r="AK64" i="5"/>
  <c r="AJ64" i="5"/>
  <c r="AG64" i="5"/>
  <c r="AF64" i="5"/>
  <c r="AE64" i="5"/>
  <c r="AD64" i="5"/>
  <c r="AC64" i="5"/>
  <c r="AB64" i="5"/>
  <c r="Z64" i="5"/>
  <c r="J64" i="5"/>
  <c r="AL64" i="5" s="1"/>
  <c r="G64" i="5"/>
  <c r="BD64" i="5" s="1"/>
  <c r="F64" i="5"/>
  <c r="BJ63" i="5"/>
  <c r="AH63" i="5" s="1"/>
  <c r="BF63" i="5"/>
  <c r="BD63" i="5"/>
  <c r="AK63" i="5"/>
  <c r="AJ63" i="5"/>
  <c r="AG63" i="5"/>
  <c r="AF63" i="5"/>
  <c r="AE63" i="5"/>
  <c r="AD63" i="5"/>
  <c r="AC63" i="5"/>
  <c r="AB63" i="5"/>
  <c r="Z63" i="5"/>
  <c r="G63" i="5"/>
  <c r="AP63" i="5" s="1"/>
  <c r="I63" i="5" s="1"/>
  <c r="F63" i="5"/>
  <c r="BF62" i="5"/>
  <c r="AP62" i="5"/>
  <c r="BI62" i="5" s="1"/>
  <c r="AK62" i="5"/>
  <c r="AT60" i="5" s="1"/>
  <c r="AJ62" i="5"/>
  <c r="AS60" i="5" s="1"/>
  <c r="AG62" i="5"/>
  <c r="AF62" i="5"/>
  <c r="AE62" i="5"/>
  <c r="AD62" i="5"/>
  <c r="AC62" i="5"/>
  <c r="AB62" i="5"/>
  <c r="Z62" i="5"/>
  <c r="G62" i="5"/>
  <c r="F62" i="5"/>
  <c r="BF61" i="5"/>
  <c r="AK61" i="5"/>
  <c r="AJ61" i="5"/>
  <c r="AG61" i="5"/>
  <c r="AF61" i="5"/>
  <c r="AE61" i="5"/>
  <c r="AD61" i="5"/>
  <c r="AC61" i="5"/>
  <c r="AB61" i="5"/>
  <c r="Z61" i="5"/>
  <c r="G61" i="5"/>
  <c r="F61" i="5"/>
  <c r="BF58" i="5"/>
  <c r="AK58" i="5"/>
  <c r="AJ58" i="5"/>
  <c r="AS57" i="5" s="1"/>
  <c r="AH58" i="5"/>
  <c r="AG58" i="5"/>
  <c r="AF58" i="5"/>
  <c r="AE58" i="5"/>
  <c r="AD58" i="5"/>
  <c r="Z58" i="5"/>
  <c r="G58" i="5"/>
  <c r="F58" i="5"/>
  <c r="AT57" i="5"/>
  <c r="BF55" i="5"/>
  <c r="AP55" i="5"/>
  <c r="BI55" i="5" s="1"/>
  <c r="AK55" i="5"/>
  <c r="AJ55" i="5"/>
  <c r="AG55" i="5"/>
  <c r="AF55" i="5"/>
  <c r="AE55" i="5"/>
  <c r="AD55" i="5"/>
  <c r="AC55" i="5"/>
  <c r="AB55" i="5"/>
  <c r="Z55" i="5"/>
  <c r="G55" i="5"/>
  <c r="F55" i="5"/>
  <c r="BF54" i="5"/>
  <c r="AK54" i="5"/>
  <c r="AJ54" i="5"/>
  <c r="AG54" i="5"/>
  <c r="AF54" i="5"/>
  <c r="AE54" i="5"/>
  <c r="AD54" i="5"/>
  <c r="AC54" i="5"/>
  <c r="AB54" i="5"/>
  <c r="Z54" i="5"/>
  <c r="G54" i="5"/>
  <c r="F54" i="5"/>
  <c r="BF53" i="5"/>
  <c r="AO53" i="5"/>
  <c r="AK53" i="5"/>
  <c r="AJ53" i="5"/>
  <c r="AG53" i="5"/>
  <c r="AF53" i="5"/>
  <c r="AE53" i="5"/>
  <c r="AD53" i="5"/>
  <c r="AC53" i="5"/>
  <c r="AB53" i="5"/>
  <c r="Z53" i="5"/>
  <c r="G53" i="5"/>
  <c r="BD53" i="5" s="1"/>
  <c r="F53" i="5"/>
  <c r="BJ52" i="5"/>
  <c r="AH52" i="5" s="1"/>
  <c r="BF52" i="5"/>
  <c r="BD52" i="5"/>
  <c r="AK52" i="5"/>
  <c r="AT51" i="5" s="1"/>
  <c r="AJ52" i="5"/>
  <c r="AG52" i="5"/>
  <c r="AF52" i="5"/>
  <c r="AE52" i="5"/>
  <c r="AD52" i="5"/>
  <c r="AC52" i="5"/>
  <c r="AB52" i="5"/>
  <c r="Z52" i="5"/>
  <c r="I52" i="5"/>
  <c r="G52" i="5"/>
  <c r="AP52" i="5" s="1"/>
  <c r="F52" i="5"/>
  <c r="BI52" i="5" s="1"/>
  <c r="BJ49" i="5"/>
  <c r="AH49" i="5" s="1"/>
  <c r="BF49" i="5"/>
  <c r="BD49" i="5"/>
  <c r="AK49" i="5"/>
  <c r="AJ49" i="5"/>
  <c r="AG49" i="5"/>
  <c r="AF49" i="5"/>
  <c r="AE49" i="5"/>
  <c r="AD49" i="5"/>
  <c r="AC49" i="5"/>
  <c r="AB49" i="5"/>
  <c r="Z49" i="5"/>
  <c r="I49" i="5"/>
  <c r="G49" i="5"/>
  <c r="AP49" i="5" s="1"/>
  <c r="F49" i="5"/>
  <c r="BI49" i="5" s="1"/>
  <c r="BJ48" i="5"/>
  <c r="AH48" i="5" s="1"/>
  <c r="BF48" i="5"/>
  <c r="BD48" i="5"/>
  <c r="AP48" i="5"/>
  <c r="BI48" i="5" s="1"/>
  <c r="AK48" i="5"/>
  <c r="AJ48" i="5"/>
  <c r="AG48" i="5"/>
  <c r="AF48" i="5"/>
  <c r="AE48" i="5"/>
  <c r="AD48" i="5"/>
  <c r="AC48" i="5"/>
  <c r="AB48" i="5"/>
  <c r="Z48" i="5"/>
  <c r="H48" i="5"/>
  <c r="G48" i="5"/>
  <c r="AO48" i="5" s="1"/>
  <c r="F48" i="5"/>
  <c r="BH48" i="5" s="1"/>
  <c r="BF47" i="5"/>
  <c r="AX47" i="5"/>
  <c r="AP47" i="5"/>
  <c r="BI47" i="5" s="1"/>
  <c r="AK47" i="5"/>
  <c r="AJ47" i="5"/>
  <c r="AG47" i="5"/>
  <c r="AF47" i="5"/>
  <c r="AE47" i="5"/>
  <c r="AD47" i="5"/>
  <c r="AC47" i="5"/>
  <c r="AB47" i="5"/>
  <c r="Z47" i="5"/>
  <c r="J47" i="5"/>
  <c r="AL47" i="5" s="1"/>
  <c r="G47" i="5"/>
  <c r="BD47" i="5" s="1"/>
  <c r="F47" i="5"/>
  <c r="BF46" i="5"/>
  <c r="AP46" i="5"/>
  <c r="I46" i="5" s="1"/>
  <c r="AK46" i="5"/>
  <c r="AJ46" i="5"/>
  <c r="AG46" i="5"/>
  <c r="AF46" i="5"/>
  <c r="AE46" i="5"/>
  <c r="AD46" i="5"/>
  <c r="AC46" i="5"/>
  <c r="AB46" i="5"/>
  <c r="Z46" i="5"/>
  <c r="G46" i="5"/>
  <c r="F46" i="5"/>
  <c r="BF45" i="5"/>
  <c r="AP45" i="5"/>
  <c r="AX45" i="5" s="1"/>
  <c r="AK45" i="5"/>
  <c r="AJ45" i="5"/>
  <c r="AG45" i="5"/>
  <c r="AF45" i="5"/>
  <c r="AE45" i="5"/>
  <c r="AD45" i="5"/>
  <c r="AC45" i="5"/>
  <c r="AB45" i="5"/>
  <c r="Z45" i="5"/>
  <c r="J45" i="5"/>
  <c r="AL45" i="5" s="1"/>
  <c r="G45" i="5"/>
  <c r="BD45" i="5" s="1"/>
  <c r="F45" i="5"/>
  <c r="BH44" i="5"/>
  <c r="BF44" i="5"/>
  <c r="AO44" i="5"/>
  <c r="AL44" i="5"/>
  <c r="AK44" i="5"/>
  <c r="AJ44" i="5"/>
  <c r="AG44" i="5"/>
  <c r="AF44" i="5"/>
  <c r="AE44" i="5"/>
  <c r="AD44" i="5"/>
  <c r="AC44" i="5"/>
  <c r="AB44" i="5"/>
  <c r="Z44" i="5"/>
  <c r="J44" i="5"/>
  <c r="G44" i="5"/>
  <c r="BD44" i="5" s="1"/>
  <c r="F44" i="5"/>
  <c r="BJ43" i="5"/>
  <c r="AH43" i="5" s="1"/>
  <c r="BF43" i="5"/>
  <c r="BD43" i="5"/>
  <c r="AW43" i="5"/>
  <c r="AO43" i="5"/>
  <c r="AK43" i="5"/>
  <c r="AJ43" i="5"/>
  <c r="AG43" i="5"/>
  <c r="AF43" i="5"/>
  <c r="AE43" i="5"/>
  <c r="AD43" i="5"/>
  <c r="AC43" i="5"/>
  <c r="AB43" i="5"/>
  <c r="Z43" i="5"/>
  <c r="I43" i="5"/>
  <c r="H43" i="5"/>
  <c r="G43" i="5"/>
  <c r="AP43" i="5" s="1"/>
  <c r="F43" i="5"/>
  <c r="BI43" i="5" s="1"/>
  <c r="AT42" i="5"/>
  <c r="BJ40" i="5"/>
  <c r="AH40" i="5" s="1"/>
  <c r="BF40" i="5"/>
  <c r="BD40" i="5"/>
  <c r="AW40" i="5"/>
  <c r="AO40" i="5"/>
  <c r="AK40" i="5"/>
  <c r="AJ40" i="5"/>
  <c r="AG40" i="5"/>
  <c r="AF40" i="5"/>
  <c r="AE40" i="5"/>
  <c r="AD40" i="5"/>
  <c r="AC40" i="5"/>
  <c r="AB40" i="5"/>
  <c r="Z40" i="5"/>
  <c r="I40" i="5"/>
  <c r="H40" i="5"/>
  <c r="G40" i="5"/>
  <c r="AP40" i="5" s="1"/>
  <c r="F40" i="5"/>
  <c r="BI40" i="5" s="1"/>
  <c r="BJ39" i="5"/>
  <c r="AH39" i="5" s="1"/>
  <c r="BF39" i="5"/>
  <c r="BD39" i="5"/>
  <c r="AP39" i="5"/>
  <c r="I39" i="5" s="1"/>
  <c r="AK39" i="5"/>
  <c r="AJ39" i="5"/>
  <c r="AG39" i="5"/>
  <c r="AF39" i="5"/>
  <c r="AE39" i="5"/>
  <c r="AD39" i="5"/>
  <c r="AC39" i="5"/>
  <c r="AB39" i="5"/>
  <c r="Z39" i="5"/>
  <c r="H39" i="5"/>
  <c r="G39" i="5"/>
  <c r="AO39" i="5" s="1"/>
  <c r="AW39" i="5" s="1"/>
  <c r="F39" i="5"/>
  <c r="BH39" i="5" s="1"/>
  <c r="BI38" i="5"/>
  <c r="BF38" i="5"/>
  <c r="AP38" i="5"/>
  <c r="AX38" i="5" s="1"/>
  <c r="AK38" i="5"/>
  <c r="AJ38" i="5"/>
  <c r="AG38" i="5"/>
  <c r="AF38" i="5"/>
  <c r="AE38" i="5"/>
  <c r="AD38" i="5"/>
  <c r="AC38" i="5"/>
  <c r="AB38" i="5"/>
  <c r="Z38" i="5"/>
  <c r="J38" i="5"/>
  <c r="AL38" i="5" s="1"/>
  <c r="G38" i="5"/>
  <c r="BD38" i="5" s="1"/>
  <c r="F38" i="5"/>
  <c r="BF37" i="5"/>
  <c r="AO37" i="5"/>
  <c r="BH37" i="5" s="1"/>
  <c r="AK37" i="5"/>
  <c r="AJ37" i="5"/>
  <c r="AG37" i="5"/>
  <c r="AF37" i="5"/>
  <c r="AE37" i="5"/>
  <c r="AD37" i="5"/>
  <c r="AC37" i="5"/>
  <c r="AB37" i="5"/>
  <c r="Z37" i="5"/>
  <c r="J37" i="5"/>
  <c r="AL37" i="5" s="1"/>
  <c r="G37" i="5"/>
  <c r="BD37" i="5" s="1"/>
  <c r="F37" i="5"/>
  <c r="BJ36" i="5"/>
  <c r="AH36" i="5" s="1"/>
  <c r="BF36" i="5"/>
  <c r="BD36" i="5"/>
  <c r="AW36" i="5"/>
  <c r="AO36" i="5"/>
  <c r="AK36" i="5"/>
  <c r="AJ36" i="5"/>
  <c r="AG36" i="5"/>
  <c r="AF36" i="5"/>
  <c r="AE36" i="5"/>
  <c r="AD36" i="5"/>
  <c r="AC36" i="5"/>
  <c r="AB36" i="5"/>
  <c r="Z36" i="5"/>
  <c r="I36" i="5"/>
  <c r="H36" i="5"/>
  <c r="G36" i="5"/>
  <c r="AP36" i="5" s="1"/>
  <c r="F36" i="5"/>
  <c r="BI36" i="5" s="1"/>
  <c r="BJ35" i="5"/>
  <c r="AH35" i="5" s="1"/>
  <c r="BF35" i="5"/>
  <c r="AK35" i="5"/>
  <c r="AJ35" i="5"/>
  <c r="AG35" i="5"/>
  <c r="AF35" i="5"/>
  <c r="AE35" i="5"/>
  <c r="AD35" i="5"/>
  <c r="AC35" i="5"/>
  <c r="AB35" i="5"/>
  <c r="Z35" i="5"/>
  <c r="G35" i="5"/>
  <c r="F35" i="5"/>
  <c r="BF34" i="5"/>
  <c r="AK34" i="5"/>
  <c r="AJ34" i="5"/>
  <c r="AG34" i="5"/>
  <c r="AF34" i="5"/>
  <c r="AE34" i="5"/>
  <c r="AD34" i="5"/>
  <c r="AC34" i="5"/>
  <c r="AB34" i="5"/>
  <c r="Z34" i="5"/>
  <c r="G34" i="5"/>
  <c r="BD34" i="5" s="1"/>
  <c r="F34" i="5"/>
  <c r="BF33" i="5"/>
  <c r="AO33" i="5"/>
  <c r="BH33" i="5" s="1"/>
  <c r="AL33" i="5"/>
  <c r="AK33" i="5"/>
  <c r="AJ33" i="5"/>
  <c r="AG33" i="5"/>
  <c r="AF33" i="5"/>
  <c r="AE33" i="5"/>
  <c r="AD33" i="5"/>
  <c r="AC33" i="5"/>
  <c r="AB33" i="5"/>
  <c r="Z33" i="5"/>
  <c r="J33" i="5"/>
  <c r="G33" i="5"/>
  <c r="BD33" i="5" s="1"/>
  <c r="F33" i="5"/>
  <c r="BJ32" i="5"/>
  <c r="AH32" i="5" s="1"/>
  <c r="BF32" i="5"/>
  <c r="BD32" i="5"/>
  <c r="AW32" i="5"/>
  <c r="AO32" i="5"/>
  <c r="AK32" i="5"/>
  <c r="AJ32" i="5"/>
  <c r="AG32" i="5"/>
  <c r="AF32" i="5"/>
  <c r="AE32" i="5"/>
  <c r="AD32" i="5"/>
  <c r="AC32" i="5"/>
  <c r="AB32" i="5"/>
  <c r="Z32" i="5"/>
  <c r="H32" i="5"/>
  <c r="G32" i="5"/>
  <c r="AP32" i="5" s="1"/>
  <c r="I32" i="5" s="1"/>
  <c r="F32" i="5"/>
  <c r="AT31" i="5"/>
  <c r="BJ28" i="5"/>
  <c r="AH28" i="5" s="1"/>
  <c r="BF28" i="5"/>
  <c r="BD28" i="5"/>
  <c r="AW28" i="5"/>
  <c r="AO28" i="5"/>
  <c r="AK28" i="5"/>
  <c r="AJ28" i="5"/>
  <c r="AG28" i="5"/>
  <c r="AF28" i="5"/>
  <c r="AE28" i="5"/>
  <c r="AD28" i="5"/>
  <c r="AC28" i="5"/>
  <c r="AB28" i="5"/>
  <c r="Z28" i="5"/>
  <c r="I28" i="5"/>
  <c r="H28" i="5"/>
  <c r="G28" i="5"/>
  <c r="AP28" i="5" s="1"/>
  <c r="F28" i="5"/>
  <c r="BI28" i="5" s="1"/>
  <c r="BF27" i="5"/>
  <c r="AK27" i="5"/>
  <c r="AJ27" i="5"/>
  <c r="AG27" i="5"/>
  <c r="AF27" i="5"/>
  <c r="AE27" i="5"/>
  <c r="AD27" i="5"/>
  <c r="AC27" i="5"/>
  <c r="AB27" i="5"/>
  <c r="Z27" i="5"/>
  <c r="G27" i="5"/>
  <c r="F27" i="5"/>
  <c r="BF26" i="5"/>
  <c r="AP26" i="5"/>
  <c r="AK26" i="5"/>
  <c r="AJ26" i="5"/>
  <c r="AG26" i="5"/>
  <c r="AF26" i="5"/>
  <c r="AE26" i="5"/>
  <c r="AD26" i="5"/>
  <c r="AC26" i="5"/>
  <c r="AB26" i="5"/>
  <c r="Z26" i="5"/>
  <c r="J26" i="5"/>
  <c r="AL26" i="5" s="1"/>
  <c r="G26" i="5"/>
  <c r="BD26" i="5" s="1"/>
  <c r="F26" i="5"/>
  <c r="BF25" i="5"/>
  <c r="AO25" i="5"/>
  <c r="BH25" i="5" s="1"/>
  <c r="AL25" i="5"/>
  <c r="AK25" i="5"/>
  <c r="AJ25" i="5"/>
  <c r="AG25" i="5"/>
  <c r="AF25" i="5"/>
  <c r="AE25" i="5"/>
  <c r="AD25" i="5"/>
  <c r="AC25" i="5"/>
  <c r="AB25" i="5"/>
  <c r="Z25" i="5"/>
  <c r="J25" i="5"/>
  <c r="G25" i="5"/>
  <c r="BD25" i="5" s="1"/>
  <c r="F25" i="5"/>
  <c r="BJ24" i="5"/>
  <c r="AH24" i="5" s="1"/>
  <c r="BF24" i="5"/>
  <c r="BD24" i="5"/>
  <c r="AW24" i="5"/>
  <c r="AO24" i="5"/>
  <c r="AK24" i="5"/>
  <c r="AJ24" i="5"/>
  <c r="AG24" i="5"/>
  <c r="AF24" i="5"/>
  <c r="AE24" i="5"/>
  <c r="AD24" i="5"/>
  <c r="AC24" i="5"/>
  <c r="AB24" i="5"/>
  <c r="Z24" i="5"/>
  <c r="H24" i="5"/>
  <c r="G24" i="5"/>
  <c r="AP24" i="5" s="1"/>
  <c r="I24" i="5" s="1"/>
  <c r="F24" i="5"/>
  <c r="BF23" i="5"/>
  <c r="AK23" i="5"/>
  <c r="AJ23" i="5"/>
  <c r="AG23" i="5"/>
  <c r="AF23" i="5"/>
  <c r="AE23" i="5"/>
  <c r="AD23" i="5"/>
  <c r="AC23" i="5"/>
  <c r="AB23" i="5"/>
  <c r="Z23" i="5"/>
  <c r="G23" i="5"/>
  <c r="F23" i="5"/>
  <c r="BF22" i="5"/>
  <c r="AO22" i="5"/>
  <c r="AK22" i="5"/>
  <c r="AT20" i="5" s="1"/>
  <c r="AJ22" i="5"/>
  <c r="AG22" i="5"/>
  <c r="AF22" i="5"/>
  <c r="AE22" i="5"/>
  <c r="AD22" i="5"/>
  <c r="AC22" i="5"/>
  <c r="AB22" i="5"/>
  <c r="Z22" i="5"/>
  <c r="G22" i="5"/>
  <c r="F22" i="5"/>
  <c r="BF21" i="5"/>
  <c r="AO21" i="5"/>
  <c r="AK21" i="5"/>
  <c r="AJ21" i="5"/>
  <c r="AG21" i="5"/>
  <c r="AF21" i="5"/>
  <c r="AE21" i="5"/>
  <c r="AD21" i="5"/>
  <c r="AC21" i="5"/>
  <c r="AB21" i="5"/>
  <c r="Z21" i="5"/>
  <c r="G21" i="5"/>
  <c r="BD21" i="5" s="1"/>
  <c r="F21" i="5"/>
  <c r="BF18" i="5"/>
  <c r="AO18" i="5"/>
  <c r="AK18" i="5"/>
  <c r="AJ18" i="5"/>
  <c r="AS16" i="5" s="1"/>
  <c r="AH18" i="5"/>
  <c r="AG18" i="5"/>
  <c r="AF18" i="5"/>
  <c r="AE18" i="5"/>
  <c r="AD18" i="5"/>
  <c r="Z18" i="5"/>
  <c r="G18" i="5"/>
  <c r="BD18" i="5" s="1"/>
  <c r="F18" i="5"/>
  <c r="BJ17" i="5"/>
  <c r="BF17" i="5"/>
  <c r="BD17" i="5"/>
  <c r="AW17" i="5"/>
  <c r="AO17" i="5"/>
  <c r="AK17" i="5"/>
  <c r="AJ17" i="5"/>
  <c r="AH17" i="5"/>
  <c r="AG17" i="5"/>
  <c r="AF17" i="5"/>
  <c r="AE17" i="5"/>
  <c r="AD17" i="5"/>
  <c r="Z17" i="5"/>
  <c r="H17" i="5"/>
  <c r="G17" i="5"/>
  <c r="AP17" i="5" s="1"/>
  <c r="I17" i="5" s="1"/>
  <c r="F17" i="5"/>
  <c r="AT16" i="5"/>
  <c r="BJ14" i="5"/>
  <c r="AH14" i="5" s="1"/>
  <c r="BF14" i="5"/>
  <c r="BD14" i="5"/>
  <c r="AW14" i="5"/>
  <c r="AO14" i="5"/>
  <c r="AK14" i="5"/>
  <c r="AJ14" i="5"/>
  <c r="AG14" i="5"/>
  <c r="AF14" i="5"/>
  <c r="AE14" i="5"/>
  <c r="AD14" i="5"/>
  <c r="AC14" i="5"/>
  <c r="AB14" i="5"/>
  <c r="Z14" i="5"/>
  <c r="I14" i="5"/>
  <c r="I13" i="5" s="1"/>
  <c r="I12" i="5" s="1"/>
  <c r="H14" i="5"/>
  <c r="H13" i="5" s="1"/>
  <c r="H12" i="5" s="1"/>
  <c r="G14" i="5"/>
  <c r="AP14" i="5" s="1"/>
  <c r="F14" i="5"/>
  <c r="BI14" i="5" s="1"/>
  <c r="AT13" i="5"/>
  <c r="AS13" i="5"/>
  <c r="I8" i="5"/>
  <c r="G8" i="5"/>
  <c r="C8" i="5"/>
  <c r="I6" i="5"/>
  <c r="G6" i="5"/>
  <c r="C6" i="5"/>
  <c r="I4" i="5"/>
  <c r="G4" i="5"/>
  <c r="C4" i="5"/>
  <c r="I2" i="5"/>
  <c r="G2" i="5"/>
  <c r="C2" i="5"/>
  <c r="AU1" i="5"/>
  <c r="AT1" i="5"/>
  <c r="AS1" i="5"/>
  <c r="BJ146" i="4"/>
  <c r="Z146" i="4" s="1"/>
  <c r="BF146" i="4"/>
  <c r="BD146" i="4"/>
  <c r="AW146" i="4"/>
  <c r="AO146" i="4"/>
  <c r="AK146" i="4"/>
  <c r="AT145" i="4" s="1"/>
  <c r="AJ146" i="4"/>
  <c r="AH146" i="4"/>
  <c r="AG146" i="4"/>
  <c r="AF146" i="4"/>
  <c r="AE146" i="4"/>
  <c r="AD146" i="4"/>
  <c r="AC146" i="4"/>
  <c r="AB146" i="4"/>
  <c r="H146" i="4"/>
  <c r="H145" i="4" s="1"/>
  <c r="G146" i="4"/>
  <c r="AP146" i="4" s="1"/>
  <c r="I146" i="4" s="1"/>
  <c r="I145" i="4" s="1"/>
  <c r="F146" i="4"/>
  <c r="AS145" i="4"/>
  <c r="BF143" i="4"/>
  <c r="AO143" i="4"/>
  <c r="AK143" i="4"/>
  <c r="AJ143" i="4"/>
  <c r="AH143" i="4"/>
  <c r="AG143" i="4"/>
  <c r="AF143" i="4"/>
  <c r="AE143" i="4"/>
  <c r="AD143" i="4"/>
  <c r="AC143" i="4"/>
  <c r="AB143" i="4"/>
  <c r="G143" i="4"/>
  <c r="BD143" i="4" s="1"/>
  <c r="F143" i="4"/>
  <c r="AT142" i="4"/>
  <c r="AS142" i="4"/>
  <c r="BF141" i="4"/>
  <c r="AP141" i="4"/>
  <c r="AK141" i="4"/>
  <c r="AJ141" i="4"/>
  <c r="AH141" i="4"/>
  <c r="AG141" i="4"/>
  <c r="AF141" i="4"/>
  <c r="AE141" i="4"/>
  <c r="AD141" i="4"/>
  <c r="Z141" i="4"/>
  <c r="G141" i="4"/>
  <c r="F141" i="4"/>
  <c r="AT140" i="4"/>
  <c r="AS140" i="4"/>
  <c r="BF138" i="4"/>
  <c r="AK138" i="4"/>
  <c r="AJ138" i="4"/>
  <c r="AH138" i="4"/>
  <c r="AG138" i="4"/>
  <c r="AF138" i="4"/>
  <c r="AE138" i="4"/>
  <c r="AD138" i="4"/>
  <c r="Z138" i="4"/>
  <c r="G138" i="4"/>
  <c r="F138" i="4"/>
  <c r="BF136" i="4"/>
  <c r="AK136" i="4"/>
  <c r="AT135" i="4" s="1"/>
  <c r="AJ136" i="4"/>
  <c r="AH136" i="4"/>
  <c r="AG136" i="4"/>
  <c r="AF136" i="4"/>
  <c r="AE136" i="4"/>
  <c r="AD136" i="4"/>
  <c r="Z136" i="4"/>
  <c r="J136" i="4"/>
  <c r="G136" i="4"/>
  <c r="BD136" i="4" s="1"/>
  <c r="F136" i="4"/>
  <c r="BJ133" i="4"/>
  <c r="BF133" i="4"/>
  <c r="BD133" i="4"/>
  <c r="AP133" i="4"/>
  <c r="BI133" i="4" s="1"/>
  <c r="AK133" i="4"/>
  <c r="AJ133" i="4"/>
  <c r="AS132" i="4" s="1"/>
  <c r="AH133" i="4"/>
  <c r="AG133" i="4"/>
  <c r="AF133" i="4"/>
  <c r="AE133" i="4"/>
  <c r="AD133" i="4"/>
  <c r="AC133" i="4"/>
  <c r="Z133" i="4"/>
  <c r="I133" i="4"/>
  <c r="I132" i="4" s="1"/>
  <c r="H133" i="4"/>
  <c r="G133" i="4"/>
  <c r="AO133" i="4" s="1"/>
  <c r="AW133" i="4" s="1"/>
  <c r="F133" i="4"/>
  <c r="BH133" i="4" s="1"/>
  <c r="AB133" i="4" s="1"/>
  <c r="AT132" i="4"/>
  <c r="H132" i="4"/>
  <c r="BF131" i="4"/>
  <c r="AP131" i="4"/>
  <c r="AO131" i="4"/>
  <c r="AK131" i="4"/>
  <c r="AJ131" i="4"/>
  <c r="AH131" i="4"/>
  <c r="AG131" i="4"/>
  <c r="AF131" i="4"/>
  <c r="AE131" i="4"/>
  <c r="AD131" i="4"/>
  <c r="Z131" i="4"/>
  <c r="G131" i="4"/>
  <c r="BD131" i="4" s="1"/>
  <c r="F131" i="4"/>
  <c r="BH130" i="4"/>
  <c r="AB130" i="4" s="1"/>
  <c r="BF130" i="4"/>
  <c r="AO130" i="4"/>
  <c r="AW130" i="4" s="1"/>
  <c r="AK130" i="4"/>
  <c r="AJ130" i="4"/>
  <c r="AH130" i="4"/>
  <c r="AG130" i="4"/>
  <c r="AF130" i="4"/>
  <c r="AE130" i="4"/>
  <c r="AD130" i="4"/>
  <c r="Z130" i="4"/>
  <c r="J130" i="4"/>
  <c r="AL130" i="4" s="1"/>
  <c r="G130" i="4"/>
  <c r="BD130" i="4" s="1"/>
  <c r="F130" i="4"/>
  <c r="BJ129" i="4"/>
  <c r="BF129" i="4"/>
  <c r="BD129" i="4"/>
  <c r="AW129" i="4"/>
  <c r="AO129" i="4"/>
  <c r="AK129" i="4"/>
  <c r="AJ129" i="4"/>
  <c r="AH129" i="4"/>
  <c r="AG129" i="4"/>
  <c r="AF129" i="4"/>
  <c r="AE129" i="4"/>
  <c r="AD129" i="4"/>
  <c r="Z129" i="4"/>
  <c r="I129" i="4"/>
  <c r="H129" i="4"/>
  <c r="G129" i="4"/>
  <c r="AP129" i="4" s="1"/>
  <c r="F129" i="4"/>
  <c r="BI129" i="4" s="1"/>
  <c r="AC129" i="4" s="1"/>
  <c r="BJ128" i="4"/>
  <c r="BF128" i="4"/>
  <c r="BD128" i="4"/>
  <c r="AP128" i="4"/>
  <c r="I128" i="4" s="1"/>
  <c r="AK128" i="4"/>
  <c r="AT126" i="4" s="1"/>
  <c r="AJ128" i="4"/>
  <c r="AH128" i="4"/>
  <c r="AG128" i="4"/>
  <c r="AF128" i="4"/>
  <c r="AE128" i="4"/>
  <c r="AD128" i="4"/>
  <c r="Z128" i="4"/>
  <c r="H128" i="4"/>
  <c r="G128" i="4"/>
  <c r="AO128" i="4" s="1"/>
  <c r="AW128" i="4" s="1"/>
  <c r="F128" i="4"/>
  <c r="BH128" i="4" s="1"/>
  <c r="AB128" i="4" s="1"/>
  <c r="BF127" i="4"/>
  <c r="AP127" i="4"/>
  <c r="AK127" i="4"/>
  <c r="AJ127" i="4"/>
  <c r="AS126" i="4" s="1"/>
  <c r="AH127" i="4"/>
  <c r="AG127" i="4"/>
  <c r="AF127" i="4"/>
  <c r="AE127" i="4"/>
  <c r="AD127" i="4"/>
  <c r="Z127" i="4"/>
  <c r="G127" i="4"/>
  <c r="BD127" i="4" s="1"/>
  <c r="F127" i="4"/>
  <c r="BF124" i="4"/>
  <c r="AK124" i="4"/>
  <c r="AJ124" i="4"/>
  <c r="AH124" i="4"/>
  <c r="AG124" i="4"/>
  <c r="AF124" i="4"/>
  <c r="AE124" i="4"/>
  <c r="AD124" i="4"/>
  <c r="AC124" i="4"/>
  <c r="AB124" i="4"/>
  <c r="G124" i="4"/>
  <c r="BD124" i="4" s="1"/>
  <c r="F124" i="4"/>
  <c r="AT123" i="4"/>
  <c r="AS123" i="4"/>
  <c r="BF121" i="4"/>
  <c r="AK121" i="4"/>
  <c r="AJ121" i="4"/>
  <c r="AH121" i="4"/>
  <c r="AG121" i="4"/>
  <c r="AF121" i="4"/>
  <c r="AE121" i="4"/>
  <c r="AD121" i="4"/>
  <c r="AC121" i="4"/>
  <c r="AB121" i="4"/>
  <c r="G121" i="4"/>
  <c r="F121" i="4"/>
  <c r="AT120" i="4"/>
  <c r="AS120" i="4"/>
  <c r="BF119" i="4"/>
  <c r="BD119" i="4"/>
  <c r="AP119" i="4"/>
  <c r="I119" i="4" s="1"/>
  <c r="AK119" i="4"/>
  <c r="AJ119" i="4"/>
  <c r="AH119" i="4"/>
  <c r="AG119" i="4"/>
  <c r="AF119" i="4"/>
  <c r="AE119" i="4"/>
  <c r="AD119" i="4"/>
  <c r="Z119" i="4"/>
  <c r="G119" i="4"/>
  <c r="AO119" i="4" s="1"/>
  <c r="H119" i="4" s="1"/>
  <c r="F119" i="4"/>
  <c r="BH119" i="4" s="1"/>
  <c r="AB119" i="4" s="1"/>
  <c r="BF118" i="4"/>
  <c r="AK118" i="4"/>
  <c r="AJ118" i="4"/>
  <c r="AS115" i="4" s="1"/>
  <c r="AH118" i="4"/>
  <c r="AG118" i="4"/>
  <c r="AF118" i="4"/>
  <c r="AE118" i="4"/>
  <c r="AD118" i="4"/>
  <c r="Z118" i="4"/>
  <c r="G118" i="4"/>
  <c r="F118" i="4"/>
  <c r="BF117" i="4"/>
  <c r="AO117" i="4"/>
  <c r="AK117" i="4"/>
  <c r="AJ117" i="4"/>
  <c r="AH117" i="4"/>
  <c r="AG117" i="4"/>
  <c r="AF117" i="4"/>
  <c r="AE117" i="4"/>
  <c r="AD117" i="4"/>
  <c r="Z117" i="4"/>
  <c r="G117" i="4"/>
  <c r="BD117" i="4" s="1"/>
  <c r="F117" i="4"/>
  <c r="BJ116" i="4"/>
  <c r="BF116" i="4"/>
  <c r="BD116" i="4"/>
  <c r="AK116" i="4"/>
  <c r="AJ116" i="4"/>
  <c r="AH116" i="4"/>
  <c r="AG116" i="4"/>
  <c r="AF116" i="4"/>
  <c r="AE116" i="4"/>
  <c r="AD116" i="4"/>
  <c r="Z116" i="4"/>
  <c r="G116" i="4"/>
  <c r="AP116" i="4" s="1"/>
  <c r="I116" i="4" s="1"/>
  <c r="F116" i="4"/>
  <c r="BI116" i="4" s="1"/>
  <c r="AC116" i="4" s="1"/>
  <c r="BF113" i="4"/>
  <c r="AW113" i="4"/>
  <c r="AO113" i="4"/>
  <c r="AK113" i="4"/>
  <c r="AJ113" i="4"/>
  <c r="AH113" i="4"/>
  <c r="AG113" i="4"/>
  <c r="AF113" i="4"/>
  <c r="AE113" i="4"/>
  <c r="AD113" i="4"/>
  <c r="AC113" i="4"/>
  <c r="AB113" i="4"/>
  <c r="J113" i="4"/>
  <c r="AL113" i="4" s="1"/>
  <c r="G113" i="4"/>
  <c r="BD113" i="4" s="1"/>
  <c r="F113" i="4"/>
  <c r="BJ112" i="4"/>
  <c r="BF112" i="4"/>
  <c r="BD112" i="4"/>
  <c r="AK112" i="4"/>
  <c r="AJ112" i="4"/>
  <c r="AH112" i="4"/>
  <c r="AG112" i="4"/>
  <c r="AF112" i="4"/>
  <c r="AE112" i="4"/>
  <c r="AD112" i="4"/>
  <c r="Z112" i="4"/>
  <c r="I112" i="4"/>
  <c r="G112" i="4"/>
  <c r="AP112" i="4" s="1"/>
  <c r="F112" i="4"/>
  <c r="BI112" i="4" s="1"/>
  <c r="AC112" i="4" s="1"/>
  <c r="BJ110" i="4"/>
  <c r="BF110" i="4"/>
  <c r="BD110" i="4"/>
  <c r="AP110" i="4"/>
  <c r="I110" i="4" s="1"/>
  <c r="AK110" i="4"/>
  <c r="AJ110" i="4"/>
  <c r="AH110" i="4"/>
  <c r="AG110" i="4"/>
  <c r="AF110" i="4"/>
  <c r="AE110" i="4"/>
  <c r="AD110" i="4"/>
  <c r="Z110" i="4"/>
  <c r="H110" i="4"/>
  <c r="G110" i="4"/>
  <c r="AO110" i="4" s="1"/>
  <c r="F110" i="4"/>
  <c r="BH110" i="4" s="1"/>
  <c r="AB110" i="4" s="1"/>
  <c r="BF108" i="4"/>
  <c r="AP108" i="4"/>
  <c r="AK108" i="4"/>
  <c r="AJ108" i="4"/>
  <c r="AH108" i="4"/>
  <c r="AG108" i="4"/>
  <c r="AF108" i="4"/>
  <c r="AE108" i="4"/>
  <c r="AD108" i="4"/>
  <c r="Z108" i="4"/>
  <c r="G108" i="4"/>
  <c r="BD108" i="4" s="1"/>
  <c r="F108" i="4"/>
  <c r="BF106" i="4"/>
  <c r="AW106" i="4"/>
  <c r="AO106" i="4"/>
  <c r="AK106" i="4"/>
  <c r="AJ106" i="4"/>
  <c r="AH106" i="4"/>
  <c r="AG106" i="4"/>
  <c r="AF106" i="4"/>
  <c r="AE106" i="4"/>
  <c r="AD106" i="4"/>
  <c r="Z106" i="4"/>
  <c r="J106" i="4"/>
  <c r="AL106" i="4" s="1"/>
  <c r="G106" i="4"/>
  <c r="BD106" i="4" s="1"/>
  <c r="F106" i="4"/>
  <c r="BJ105" i="4"/>
  <c r="BF105" i="4"/>
  <c r="BD105" i="4"/>
  <c r="AK105" i="4"/>
  <c r="AJ105" i="4"/>
  <c r="AH105" i="4"/>
  <c r="AG105" i="4"/>
  <c r="AF105" i="4"/>
  <c r="AE105" i="4"/>
  <c r="AD105" i="4"/>
  <c r="Z105" i="4"/>
  <c r="I105" i="4"/>
  <c r="G105" i="4"/>
  <c r="AP105" i="4" s="1"/>
  <c r="F105" i="4"/>
  <c r="BI105" i="4" s="1"/>
  <c r="AC105" i="4" s="1"/>
  <c r="BJ104" i="4"/>
  <c r="BF104" i="4"/>
  <c r="BD104" i="4"/>
  <c r="AP104" i="4"/>
  <c r="I104" i="4" s="1"/>
  <c r="AK104" i="4"/>
  <c r="AT102" i="4" s="1"/>
  <c r="AJ104" i="4"/>
  <c r="AH104" i="4"/>
  <c r="AG104" i="4"/>
  <c r="AF104" i="4"/>
  <c r="AE104" i="4"/>
  <c r="AD104" i="4"/>
  <c r="Z104" i="4"/>
  <c r="H104" i="4"/>
  <c r="G104" i="4"/>
  <c r="AO104" i="4" s="1"/>
  <c r="F104" i="4"/>
  <c r="BH104" i="4" s="1"/>
  <c r="AB104" i="4" s="1"/>
  <c r="BF103" i="4"/>
  <c r="AP103" i="4"/>
  <c r="AK103" i="4"/>
  <c r="AJ103" i="4"/>
  <c r="AS102" i="4" s="1"/>
  <c r="AH103" i="4"/>
  <c r="AG103" i="4"/>
  <c r="AF103" i="4"/>
  <c r="AE103" i="4"/>
  <c r="AD103" i="4"/>
  <c r="Z103" i="4"/>
  <c r="G103" i="4"/>
  <c r="BD103" i="4" s="1"/>
  <c r="F103" i="4"/>
  <c r="BF100" i="4"/>
  <c r="AK100" i="4"/>
  <c r="AJ100" i="4"/>
  <c r="AH100" i="4"/>
  <c r="AG100" i="4"/>
  <c r="AF100" i="4"/>
  <c r="AE100" i="4"/>
  <c r="AD100" i="4"/>
  <c r="AC100" i="4"/>
  <c r="AB100" i="4"/>
  <c r="G100" i="4"/>
  <c r="BD100" i="4" s="1"/>
  <c r="F100" i="4"/>
  <c r="AT99" i="4"/>
  <c r="AS99" i="4"/>
  <c r="BJ98" i="4"/>
  <c r="BF98" i="4"/>
  <c r="BD98" i="4"/>
  <c r="AP98" i="4"/>
  <c r="BI98" i="4" s="1"/>
  <c r="AC98" i="4" s="1"/>
  <c r="AK98" i="4"/>
  <c r="AJ98" i="4"/>
  <c r="AH98" i="4"/>
  <c r="AG98" i="4"/>
  <c r="AF98" i="4"/>
  <c r="AE98" i="4"/>
  <c r="AD98" i="4"/>
  <c r="Z98" i="4"/>
  <c r="H98" i="4"/>
  <c r="G98" i="4"/>
  <c r="AO98" i="4" s="1"/>
  <c r="F98" i="4"/>
  <c r="BH98" i="4" s="1"/>
  <c r="AB98" i="4" s="1"/>
  <c r="BF97" i="4"/>
  <c r="AP97" i="4"/>
  <c r="AK97" i="4"/>
  <c r="AJ97" i="4"/>
  <c r="AH97" i="4"/>
  <c r="AG97" i="4"/>
  <c r="AF97" i="4"/>
  <c r="AE97" i="4"/>
  <c r="AD97" i="4"/>
  <c r="Z97" i="4"/>
  <c r="J97" i="4"/>
  <c r="AL97" i="4" s="1"/>
  <c r="G97" i="4"/>
  <c r="BD97" i="4" s="1"/>
  <c r="F97" i="4"/>
  <c r="BF96" i="4"/>
  <c r="AW96" i="4"/>
  <c r="AO96" i="4"/>
  <c r="AK96" i="4"/>
  <c r="AJ96" i="4"/>
  <c r="AH96" i="4"/>
  <c r="AG96" i="4"/>
  <c r="AF96" i="4"/>
  <c r="AE96" i="4"/>
  <c r="AD96" i="4"/>
  <c r="Z96" i="4"/>
  <c r="G96" i="4"/>
  <c r="BD96" i="4" s="1"/>
  <c r="F96" i="4"/>
  <c r="BJ96" i="4" s="1"/>
  <c r="BJ95" i="4"/>
  <c r="BF95" i="4"/>
  <c r="BD95" i="4"/>
  <c r="AW95" i="4"/>
  <c r="AO95" i="4"/>
  <c r="AK95" i="4"/>
  <c r="AJ95" i="4"/>
  <c r="AH95" i="4"/>
  <c r="AG95" i="4"/>
  <c r="AF95" i="4"/>
  <c r="AE95" i="4"/>
  <c r="AD95" i="4"/>
  <c r="Z95" i="4"/>
  <c r="H95" i="4"/>
  <c r="G95" i="4"/>
  <c r="AP95" i="4" s="1"/>
  <c r="I95" i="4" s="1"/>
  <c r="F95" i="4"/>
  <c r="BI95" i="4" s="1"/>
  <c r="AC95" i="4" s="1"/>
  <c r="BF94" i="4"/>
  <c r="AK94" i="4"/>
  <c r="AJ94" i="4"/>
  <c r="AH94" i="4"/>
  <c r="AG94" i="4"/>
  <c r="AF94" i="4"/>
  <c r="AE94" i="4"/>
  <c r="AD94" i="4"/>
  <c r="Z94" i="4"/>
  <c r="G94" i="4"/>
  <c r="F94" i="4"/>
  <c r="BF93" i="4"/>
  <c r="AO93" i="4"/>
  <c r="AK93" i="4"/>
  <c r="AJ93" i="4"/>
  <c r="AH93" i="4"/>
  <c r="AG93" i="4"/>
  <c r="AF93" i="4"/>
  <c r="AE93" i="4"/>
  <c r="AD93" i="4"/>
  <c r="Z93" i="4"/>
  <c r="G93" i="4"/>
  <c r="BD93" i="4" s="1"/>
  <c r="F93" i="4"/>
  <c r="BF92" i="4"/>
  <c r="AO92" i="4"/>
  <c r="AK92" i="4"/>
  <c r="AJ92" i="4"/>
  <c r="AH92" i="4"/>
  <c r="AG92" i="4"/>
  <c r="AF92" i="4"/>
  <c r="AE92" i="4"/>
  <c r="AD92" i="4"/>
  <c r="Z92" i="4"/>
  <c r="G92" i="4"/>
  <c r="BD92" i="4" s="1"/>
  <c r="F92" i="4"/>
  <c r="AW92" i="4" s="1"/>
  <c r="BJ91" i="4"/>
  <c r="BF91" i="4"/>
  <c r="BD91" i="4"/>
  <c r="AW91" i="4"/>
  <c r="AO91" i="4"/>
  <c r="AK91" i="4"/>
  <c r="AT89" i="4" s="1"/>
  <c r="AJ91" i="4"/>
  <c r="AH91" i="4"/>
  <c r="AG91" i="4"/>
  <c r="AF91" i="4"/>
  <c r="AE91" i="4"/>
  <c r="AD91" i="4"/>
  <c r="Z91" i="4"/>
  <c r="H91" i="4"/>
  <c r="G91" i="4"/>
  <c r="AP91" i="4" s="1"/>
  <c r="I91" i="4" s="1"/>
  <c r="F91" i="4"/>
  <c r="BF90" i="4"/>
  <c r="AK90" i="4"/>
  <c r="AJ90" i="4"/>
  <c r="AH90" i="4"/>
  <c r="AG90" i="4"/>
  <c r="AF90" i="4"/>
  <c r="AE90" i="4"/>
  <c r="AD90" i="4"/>
  <c r="Z90" i="4"/>
  <c r="G90" i="4"/>
  <c r="F90" i="4"/>
  <c r="AS89" i="4"/>
  <c r="BF87" i="4"/>
  <c r="AK87" i="4"/>
  <c r="AT86" i="4" s="1"/>
  <c r="AJ87" i="4"/>
  <c r="AH87" i="4"/>
  <c r="AG87" i="4"/>
  <c r="AF87" i="4"/>
  <c r="AE87" i="4"/>
  <c r="AD87" i="4"/>
  <c r="AC87" i="4"/>
  <c r="AB87" i="4"/>
  <c r="G87" i="4"/>
  <c r="F87" i="4"/>
  <c r="AS86" i="4"/>
  <c r="BJ85" i="4"/>
  <c r="BF85" i="4"/>
  <c r="BD85" i="4"/>
  <c r="AW85" i="4"/>
  <c r="AO85" i="4"/>
  <c r="AK85" i="4"/>
  <c r="AT76" i="4" s="1"/>
  <c r="AJ85" i="4"/>
  <c r="AH85" i="4"/>
  <c r="AG85" i="4"/>
  <c r="AF85" i="4"/>
  <c r="AE85" i="4"/>
  <c r="AD85" i="4"/>
  <c r="Z85" i="4"/>
  <c r="H85" i="4"/>
  <c r="G85" i="4"/>
  <c r="AP85" i="4" s="1"/>
  <c r="I85" i="4" s="1"/>
  <c r="F85" i="4"/>
  <c r="BF84" i="4"/>
  <c r="AP84" i="4"/>
  <c r="AK84" i="4"/>
  <c r="AJ84" i="4"/>
  <c r="AH84" i="4"/>
  <c r="AG84" i="4"/>
  <c r="AF84" i="4"/>
  <c r="AE84" i="4"/>
  <c r="AD84" i="4"/>
  <c r="AB84" i="4"/>
  <c r="Z84" i="4"/>
  <c r="G84" i="4"/>
  <c r="AO84" i="4" s="1"/>
  <c r="AW84" i="4" s="1"/>
  <c r="F84" i="4"/>
  <c r="BH84" i="4" s="1"/>
  <c r="BF83" i="4"/>
  <c r="AK83" i="4"/>
  <c r="AJ83" i="4"/>
  <c r="AH83" i="4"/>
  <c r="AG83" i="4"/>
  <c r="AF83" i="4"/>
  <c r="AE83" i="4"/>
  <c r="AD83" i="4"/>
  <c r="Z83" i="4"/>
  <c r="J83" i="4"/>
  <c r="AL83" i="4" s="1"/>
  <c r="G83" i="4"/>
  <c r="BD83" i="4" s="1"/>
  <c r="F83" i="4"/>
  <c r="BF82" i="4"/>
  <c r="AO82" i="4"/>
  <c r="AK82" i="4"/>
  <c r="AJ82" i="4"/>
  <c r="AH82" i="4"/>
  <c r="AG82" i="4"/>
  <c r="AF82" i="4"/>
  <c r="AE82" i="4"/>
  <c r="AD82" i="4"/>
  <c r="Z82" i="4"/>
  <c r="G82" i="4"/>
  <c r="BD82" i="4" s="1"/>
  <c r="F82" i="4"/>
  <c r="AW82" i="4" s="1"/>
  <c r="BJ81" i="4"/>
  <c r="BF81" i="4"/>
  <c r="BD81" i="4"/>
  <c r="AW81" i="4"/>
  <c r="AO81" i="4"/>
  <c r="AK81" i="4"/>
  <c r="AJ81" i="4"/>
  <c r="AH81" i="4"/>
  <c r="AG81" i="4"/>
  <c r="AF81" i="4"/>
  <c r="AE81" i="4"/>
  <c r="AD81" i="4"/>
  <c r="Z81" i="4"/>
  <c r="H81" i="4"/>
  <c r="G81" i="4"/>
  <c r="AP81" i="4" s="1"/>
  <c r="I81" i="4" s="1"/>
  <c r="F81" i="4"/>
  <c r="BF80" i="4"/>
  <c r="AK80" i="4"/>
  <c r="AJ80" i="4"/>
  <c r="AH80" i="4"/>
  <c r="AG80" i="4"/>
  <c r="AF80" i="4"/>
  <c r="AE80" i="4"/>
  <c r="AD80" i="4"/>
  <c r="Z80" i="4"/>
  <c r="G80" i="4"/>
  <c r="F80" i="4"/>
  <c r="BF79" i="4"/>
  <c r="AP79" i="4"/>
  <c r="AO79" i="4"/>
  <c r="AK79" i="4"/>
  <c r="AJ79" i="4"/>
  <c r="AH79" i="4"/>
  <c r="AG79" i="4"/>
  <c r="AF79" i="4"/>
  <c r="AE79" i="4"/>
  <c r="AD79" i="4"/>
  <c r="Z79" i="4"/>
  <c r="J79" i="4"/>
  <c r="AL79" i="4" s="1"/>
  <c r="G79" i="4"/>
  <c r="BD79" i="4" s="1"/>
  <c r="F79" i="4"/>
  <c r="BF78" i="4"/>
  <c r="AO78" i="4"/>
  <c r="AL78" i="4"/>
  <c r="AK78" i="4"/>
  <c r="AJ78" i="4"/>
  <c r="AS76" i="4" s="1"/>
  <c r="AH78" i="4"/>
  <c r="AG78" i="4"/>
  <c r="AF78" i="4"/>
  <c r="AE78" i="4"/>
  <c r="AD78" i="4"/>
  <c r="Z78" i="4"/>
  <c r="J78" i="4"/>
  <c r="G78" i="4"/>
  <c r="BD78" i="4" s="1"/>
  <c r="F78" i="4"/>
  <c r="BJ77" i="4"/>
  <c r="BF77" i="4"/>
  <c r="BD77" i="4"/>
  <c r="AW77" i="4"/>
  <c r="AO77" i="4"/>
  <c r="AK77" i="4"/>
  <c r="AJ77" i="4"/>
  <c r="AH77" i="4"/>
  <c r="AG77" i="4"/>
  <c r="AF77" i="4"/>
  <c r="AE77" i="4"/>
  <c r="AD77" i="4"/>
  <c r="AC77" i="4"/>
  <c r="Z77" i="4"/>
  <c r="I77" i="4"/>
  <c r="H77" i="4"/>
  <c r="G77" i="4"/>
  <c r="AP77" i="4" s="1"/>
  <c r="F77" i="4"/>
  <c r="BI77" i="4" s="1"/>
  <c r="BJ74" i="4"/>
  <c r="Z74" i="4" s="1"/>
  <c r="BF74" i="4"/>
  <c r="BD74" i="4"/>
  <c r="AW74" i="4"/>
  <c r="AO74" i="4"/>
  <c r="AK74" i="4"/>
  <c r="AT73" i="4" s="1"/>
  <c r="AJ74" i="4"/>
  <c r="AH74" i="4"/>
  <c r="AG74" i="4"/>
  <c r="AF74" i="4"/>
  <c r="AE74" i="4"/>
  <c r="AD74" i="4"/>
  <c r="AC74" i="4"/>
  <c r="AB74" i="4"/>
  <c r="I74" i="4"/>
  <c r="H74" i="4"/>
  <c r="G74" i="4"/>
  <c r="AP74" i="4" s="1"/>
  <c r="F74" i="4"/>
  <c r="BI74" i="4" s="1"/>
  <c r="AS73" i="4"/>
  <c r="I73" i="4"/>
  <c r="H73" i="4"/>
  <c r="BF72" i="4"/>
  <c r="AO72" i="4"/>
  <c r="AK72" i="4"/>
  <c r="AJ72" i="4"/>
  <c r="AH72" i="4"/>
  <c r="AG72" i="4"/>
  <c r="AF72" i="4"/>
  <c r="AE72" i="4"/>
  <c r="AD72" i="4"/>
  <c r="Z72" i="4"/>
  <c r="G72" i="4"/>
  <c r="BD72" i="4" s="1"/>
  <c r="F72" i="4"/>
  <c r="BJ71" i="4"/>
  <c r="BF71" i="4"/>
  <c r="BD71" i="4"/>
  <c r="AW71" i="4"/>
  <c r="AO71" i="4"/>
  <c r="AK71" i="4"/>
  <c r="AJ71" i="4"/>
  <c r="AH71" i="4"/>
  <c r="AG71" i="4"/>
  <c r="AF71" i="4"/>
  <c r="AE71" i="4"/>
  <c r="AD71" i="4"/>
  <c r="Z71" i="4"/>
  <c r="H71" i="4"/>
  <c r="G71" i="4"/>
  <c r="AP71" i="4" s="1"/>
  <c r="I71" i="4" s="1"/>
  <c r="F71" i="4"/>
  <c r="BF70" i="4"/>
  <c r="BD70" i="4"/>
  <c r="AP70" i="4"/>
  <c r="AK70" i="4"/>
  <c r="AJ70" i="4"/>
  <c r="AH70" i="4"/>
  <c r="AG70" i="4"/>
  <c r="AF70" i="4"/>
  <c r="AE70" i="4"/>
  <c r="AD70" i="4"/>
  <c r="AB70" i="4"/>
  <c r="Z70" i="4"/>
  <c r="G70" i="4"/>
  <c r="AO70" i="4" s="1"/>
  <c r="AW70" i="4" s="1"/>
  <c r="F70" i="4"/>
  <c r="BH70" i="4" s="1"/>
  <c r="BF69" i="4"/>
  <c r="AK69" i="4"/>
  <c r="AJ69" i="4"/>
  <c r="AH69" i="4"/>
  <c r="AG69" i="4"/>
  <c r="AF69" i="4"/>
  <c r="AE69" i="4"/>
  <c r="AD69" i="4"/>
  <c r="Z69" i="4"/>
  <c r="J69" i="4"/>
  <c r="AL69" i="4" s="1"/>
  <c r="G69" i="4"/>
  <c r="BD69" i="4" s="1"/>
  <c r="F69" i="4"/>
  <c r="BF68" i="4"/>
  <c r="AO68" i="4"/>
  <c r="AK68" i="4"/>
  <c r="AJ68" i="4"/>
  <c r="AH68" i="4"/>
  <c r="AG68" i="4"/>
  <c r="AF68" i="4"/>
  <c r="AE68" i="4"/>
  <c r="AD68" i="4"/>
  <c r="Z68" i="4"/>
  <c r="G68" i="4"/>
  <c r="BD68" i="4" s="1"/>
  <c r="F68" i="4"/>
  <c r="AW68" i="4" s="1"/>
  <c r="BJ67" i="4"/>
  <c r="BF67" i="4"/>
  <c r="BD67" i="4"/>
  <c r="AW67" i="4"/>
  <c r="AO67" i="4"/>
  <c r="AK67" i="4"/>
  <c r="AJ67" i="4"/>
  <c r="AH67" i="4"/>
  <c r="AG67" i="4"/>
  <c r="AF67" i="4"/>
  <c r="AE67" i="4"/>
  <c r="AD67" i="4"/>
  <c r="Z67" i="4"/>
  <c r="H67" i="4"/>
  <c r="G67" i="4"/>
  <c r="AP67" i="4" s="1"/>
  <c r="I67" i="4" s="1"/>
  <c r="F67" i="4"/>
  <c r="BF66" i="4"/>
  <c r="AK66" i="4"/>
  <c r="AJ66" i="4"/>
  <c r="AH66" i="4"/>
  <c r="AG66" i="4"/>
  <c r="AF66" i="4"/>
  <c r="AE66" i="4"/>
  <c r="AD66" i="4"/>
  <c r="Z66" i="4"/>
  <c r="G66" i="4"/>
  <c r="F66" i="4"/>
  <c r="BF65" i="4"/>
  <c r="AP65" i="4"/>
  <c r="AO65" i="4"/>
  <c r="AK65" i="4"/>
  <c r="AJ65" i="4"/>
  <c r="AH65" i="4"/>
  <c r="AG65" i="4"/>
  <c r="AF65" i="4"/>
  <c r="AE65" i="4"/>
  <c r="AD65" i="4"/>
  <c r="Z65" i="4"/>
  <c r="J65" i="4"/>
  <c r="AL65" i="4" s="1"/>
  <c r="G65" i="4"/>
  <c r="BD65" i="4" s="1"/>
  <c r="F65" i="4"/>
  <c r="BH64" i="4"/>
  <c r="AB64" i="4" s="1"/>
  <c r="BF64" i="4"/>
  <c r="AO64" i="4"/>
  <c r="AW64" i="4" s="1"/>
  <c r="AL64" i="4"/>
  <c r="AK64" i="4"/>
  <c r="AJ64" i="4"/>
  <c r="AH64" i="4"/>
  <c r="AG64" i="4"/>
  <c r="AF64" i="4"/>
  <c r="AE64" i="4"/>
  <c r="AD64" i="4"/>
  <c r="Z64" i="4"/>
  <c r="J64" i="4"/>
  <c r="G64" i="4"/>
  <c r="BD64" i="4" s="1"/>
  <c r="F64" i="4"/>
  <c r="BF62" i="4"/>
  <c r="AP62" i="4"/>
  <c r="AO62" i="4"/>
  <c r="AK62" i="4"/>
  <c r="AJ62" i="4"/>
  <c r="AH62" i="4"/>
  <c r="AG62" i="4"/>
  <c r="AF62" i="4"/>
  <c r="AE62" i="4"/>
  <c r="AD62" i="4"/>
  <c r="Z62" i="4"/>
  <c r="J62" i="4"/>
  <c r="AL62" i="4" s="1"/>
  <c r="AU61" i="4" s="1"/>
  <c r="G62" i="4"/>
  <c r="BD62" i="4" s="1"/>
  <c r="F62" i="4"/>
  <c r="AT61" i="4"/>
  <c r="AS61" i="4"/>
  <c r="BF59" i="4"/>
  <c r="AK59" i="4"/>
  <c r="AJ59" i="4"/>
  <c r="AS58" i="4" s="1"/>
  <c r="AH59" i="4"/>
  <c r="AG59" i="4"/>
  <c r="AF59" i="4"/>
  <c r="AE59" i="4"/>
  <c r="AD59" i="4"/>
  <c r="AC59" i="4"/>
  <c r="AB59" i="4"/>
  <c r="G59" i="4"/>
  <c r="BD59" i="4" s="1"/>
  <c r="F59" i="4"/>
  <c r="AT58" i="4"/>
  <c r="BJ57" i="4"/>
  <c r="BF57" i="4"/>
  <c r="AK57" i="4"/>
  <c r="AJ57" i="4"/>
  <c r="AH57" i="4"/>
  <c r="AG57" i="4"/>
  <c r="AF57" i="4"/>
  <c r="AE57" i="4"/>
  <c r="AD57" i="4"/>
  <c r="Z57" i="4"/>
  <c r="H57" i="4"/>
  <c r="G57" i="4"/>
  <c r="AO57" i="4" s="1"/>
  <c r="AW57" i="4" s="1"/>
  <c r="F57" i="4"/>
  <c r="BF56" i="4"/>
  <c r="AP56" i="4"/>
  <c r="AO56" i="4"/>
  <c r="AK56" i="4"/>
  <c r="AJ56" i="4"/>
  <c r="AH56" i="4"/>
  <c r="AG56" i="4"/>
  <c r="AF56" i="4"/>
  <c r="AE56" i="4"/>
  <c r="AD56" i="4"/>
  <c r="Z56" i="4"/>
  <c r="G56" i="4"/>
  <c r="BD56" i="4" s="1"/>
  <c r="F56" i="4"/>
  <c r="BF55" i="4"/>
  <c r="AW55" i="4"/>
  <c r="AO55" i="4"/>
  <c r="BH55" i="4" s="1"/>
  <c r="AB55" i="4" s="1"/>
  <c r="AK55" i="4"/>
  <c r="AJ55" i="4"/>
  <c r="AH55" i="4"/>
  <c r="AG55" i="4"/>
  <c r="AF55" i="4"/>
  <c r="AE55" i="4"/>
  <c r="AD55" i="4"/>
  <c r="Z55" i="4"/>
  <c r="J55" i="4"/>
  <c r="AL55" i="4" s="1"/>
  <c r="G55" i="4"/>
  <c r="BD55" i="4" s="1"/>
  <c r="F55" i="4"/>
  <c r="BJ54" i="4"/>
  <c r="BF54" i="4"/>
  <c r="BD54" i="4"/>
  <c r="AW54" i="4"/>
  <c r="AO54" i="4"/>
  <c r="AK54" i="4"/>
  <c r="AJ54" i="4"/>
  <c r="AH54" i="4"/>
  <c r="AG54" i="4"/>
  <c r="AF54" i="4"/>
  <c r="AE54" i="4"/>
  <c r="AD54" i="4"/>
  <c r="Z54" i="4"/>
  <c r="I54" i="4"/>
  <c r="H54" i="4"/>
  <c r="G54" i="4"/>
  <c r="AP54" i="4" s="1"/>
  <c r="F54" i="4"/>
  <c r="BI54" i="4" s="1"/>
  <c r="AC54" i="4" s="1"/>
  <c r="BJ53" i="4"/>
  <c r="BF53" i="4"/>
  <c r="BD53" i="4"/>
  <c r="AP53" i="4"/>
  <c r="I53" i="4" s="1"/>
  <c r="AK53" i="4"/>
  <c r="AJ53" i="4"/>
  <c r="AH53" i="4"/>
  <c r="AG53" i="4"/>
  <c r="AF53" i="4"/>
  <c r="AE53" i="4"/>
  <c r="AD53" i="4"/>
  <c r="Z53" i="4"/>
  <c r="H53" i="4"/>
  <c r="G53" i="4"/>
  <c r="AO53" i="4" s="1"/>
  <c r="AW53" i="4" s="1"/>
  <c r="F53" i="4"/>
  <c r="BH53" i="4" s="1"/>
  <c r="AB53" i="4" s="1"/>
  <c r="BF52" i="4"/>
  <c r="AK52" i="4"/>
  <c r="AJ52" i="4"/>
  <c r="AH52" i="4"/>
  <c r="AG52" i="4"/>
  <c r="AF52" i="4"/>
  <c r="AE52" i="4"/>
  <c r="AD52" i="4"/>
  <c r="Z52" i="4"/>
  <c r="G52" i="4"/>
  <c r="F52" i="4"/>
  <c r="J52" i="4" s="1"/>
  <c r="AL52" i="4" s="1"/>
  <c r="BF51" i="4"/>
  <c r="AO51" i="4"/>
  <c r="AK51" i="4"/>
  <c r="AJ51" i="4"/>
  <c r="AH51" i="4"/>
  <c r="AG51" i="4"/>
  <c r="AF51" i="4"/>
  <c r="AE51" i="4"/>
  <c r="AD51" i="4"/>
  <c r="Z51" i="4"/>
  <c r="G51" i="4"/>
  <c r="BD51" i="4" s="1"/>
  <c r="F51" i="4"/>
  <c r="BJ50" i="4"/>
  <c r="BF50" i="4"/>
  <c r="BD50" i="4"/>
  <c r="AW50" i="4"/>
  <c r="AO50" i="4"/>
  <c r="AK50" i="4"/>
  <c r="AJ50" i="4"/>
  <c r="AH50" i="4"/>
  <c r="AG50" i="4"/>
  <c r="AF50" i="4"/>
  <c r="AE50" i="4"/>
  <c r="AD50" i="4"/>
  <c r="Z50" i="4"/>
  <c r="H50" i="4"/>
  <c r="G50" i="4"/>
  <c r="AP50" i="4" s="1"/>
  <c r="I50" i="4" s="1"/>
  <c r="F50" i="4"/>
  <c r="BF48" i="4"/>
  <c r="AO48" i="4"/>
  <c r="AK48" i="4"/>
  <c r="AJ48" i="4"/>
  <c r="AH48" i="4"/>
  <c r="AG48" i="4"/>
  <c r="AF48" i="4"/>
  <c r="AE48" i="4"/>
  <c r="AD48" i="4"/>
  <c r="Z48" i="4"/>
  <c r="G48" i="4"/>
  <c r="BD48" i="4" s="1"/>
  <c r="F48" i="4"/>
  <c r="AT47" i="4"/>
  <c r="AS47" i="4"/>
  <c r="BF45" i="4"/>
  <c r="AO45" i="4"/>
  <c r="AL45" i="4"/>
  <c r="AK45" i="4"/>
  <c r="AJ45" i="4"/>
  <c r="AH45" i="4"/>
  <c r="AG45" i="4"/>
  <c r="AF45" i="4"/>
  <c r="AE45" i="4"/>
  <c r="AD45" i="4"/>
  <c r="AC45" i="4"/>
  <c r="AB45" i="4"/>
  <c r="J45" i="4"/>
  <c r="G45" i="4"/>
  <c r="BD45" i="4" s="1"/>
  <c r="F45" i="4"/>
  <c r="BJ44" i="4"/>
  <c r="BF44" i="4"/>
  <c r="BD44" i="4"/>
  <c r="AW44" i="4"/>
  <c r="AO44" i="4"/>
  <c r="AK44" i="4"/>
  <c r="AJ44" i="4"/>
  <c r="AH44" i="4"/>
  <c r="AG44" i="4"/>
  <c r="AF44" i="4"/>
  <c r="AE44" i="4"/>
  <c r="AD44" i="4"/>
  <c r="AC44" i="4"/>
  <c r="Z44" i="4"/>
  <c r="I44" i="4"/>
  <c r="H44" i="4"/>
  <c r="G44" i="4"/>
  <c r="AP44" i="4" s="1"/>
  <c r="F44" i="4"/>
  <c r="BI44" i="4" s="1"/>
  <c r="BJ43" i="4"/>
  <c r="BF43" i="4"/>
  <c r="AK43" i="4"/>
  <c r="AT41" i="4" s="1"/>
  <c r="AJ43" i="4"/>
  <c r="AS41" i="4" s="1"/>
  <c r="AH43" i="4"/>
  <c r="AG43" i="4"/>
  <c r="AF43" i="4"/>
  <c r="AE43" i="4"/>
  <c r="AD43" i="4"/>
  <c r="Z43" i="4"/>
  <c r="H43" i="4"/>
  <c r="G43" i="4"/>
  <c r="AO43" i="4" s="1"/>
  <c r="AW43" i="4" s="1"/>
  <c r="F43" i="4"/>
  <c r="BF42" i="4"/>
  <c r="AP42" i="4"/>
  <c r="AO42" i="4"/>
  <c r="AK42" i="4"/>
  <c r="AJ42" i="4"/>
  <c r="AH42" i="4"/>
  <c r="AG42" i="4"/>
  <c r="AF42" i="4"/>
  <c r="AE42" i="4"/>
  <c r="AD42" i="4"/>
  <c r="Z42" i="4"/>
  <c r="G42" i="4"/>
  <c r="BD42" i="4" s="1"/>
  <c r="F42" i="4"/>
  <c r="BF39" i="4"/>
  <c r="AK39" i="4"/>
  <c r="AJ39" i="4"/>
  <c r="AH39" i="4"/>
  <c r="AG39" i="4"/>
  <c r="AF39" i="4"/>
  <c r="AE39" i="4"/>
  <c r="AD39" i="4"/>
  <c r="AC39" i="4"/>
  <c r="AB39" i="4"/>
  <c r="G39" i="4"/>
  <c r="BD39" i="4" s="1"/>
  <c r="F39" i="4"/>
  <c r="BF38" i="4"/>
  <c r="AW38" i="4"/>
  <c r="AO38" i="4"/>
  <c r="BH38" i="4" s="1"/>
  <c r="AK38" i="4"/>
  <c r="AJ38" i="4"/>
  <c r="AH38" i="4"/>
  <c r="AG38" i="4"/>
  <c r="AF38" i="4"/>
  <c r="AE38" i="4"/>
  <c r="AD38" i="4"/>
  <c r="AC38" i="4"/>
  <c r="AB38" i="4"/>
  <c r="J38" i="4"/>
  <c r="AL38" i="4" s="1"/>
  <c r="G38" i="4"/>
  <c r="BD38" i="4" s="1"/>
  <c r="F38" i="4"/>
  <c r="BJ37" i="4"/>
  <c r="Z37" i="4" s="1"/>
  <c r="BF37" i="4"/>
  <c r="BD37" i="4"/>
  <c r="AW37" i="4"/>
  <c r="AO37" i="4"/>
  <c r="AK37" i="4"/>
  <c r="AJ37" i="4"/>
  <c r="AH37" i="4"/>
  <c r="AG37" i="4"/>
  <c r="AF37" i="4"/>
  <c r="AE37" i="4"/>
  <c r="AD37" i="4"/>
  <c r="AC37" i="4"/>
  <c r="AB37" i="4"/>
  <c r="I37" i="4"/>
  <c r="H37" i="4"/>
  <c r="G37" i="4"/>
  <c r="AP37" i="4" s="1"/>
  <c r="F37" i="4"/>
  <c r="BI37" i="4" s="1"/>
  <c r="BJ36" i="4"/>
  <c r="BF36" i="4"/>
  <c r="BD36" i="4"/>
  <c r="AK36" i="4"/>
  <c r="AT33" i="4" s="1"/>
  <c r="AJ36" i="4"/>
  <c r="AH36" i="4"/>
  <c r="AG36" i="4"/>
  <c r="AF36" i="4"/>
  <c r="AE36" i="4"/>
  <c r="AD36" i="4"/>
  <c r="AC36" i="4"/>
  <c r="AB36" i="4"/>
  <c r="Z36" i="4"/>
  <c r="H36" i="4"/>
  <c r="G36" i="4"/>
  <c r="AO36" i="4" s="1"/>
  <c r="AW36" i="4" s="1"/>
  <c r="F36" i="4"/>
  <c r="BH36" i="4" s="1"/>
  <c r="BI35" i="4"/>
  <c r="BF35" i="4"/>
  <c r="AX35" i="4"/>
  <c r="AP35" i="4"/>
  <c r="AK35" i="4"/>
  <c r="AJ35" i="4"/>
  <c r="AS33" i="4" s="1"/>
  <c r="AH35" i="4"/>
  <c r="AG35" i="4"/>
  <c r="AF35" i="4"/>
  <c r="AE35" i="4"/>
  <c r="AD35" i="4"/>
  <c r="AC35" i="4"/>
  <c r="AB35" i="4"/>
  <c r="G35" i="4"/>
  <c r="BD35" i="4" s="1"/>
  <c r="F35" i="4"/>
  <c r="BI34" i="4"/>
  <c r="BF34" i="4"/>
  <c r="AX34" i="4"/>
  <c r="AP34" i="4"/>
  <c r="AO34" i="4"/>
  <c r="AK34" i="4"/>
  <c r="AJ34" i="4"/>
  <c r="AH34" i="4"/>
  <c r="AG34" i="4"/>
  <c r="AF34" i="4"/>
  <c r="AE34" i="4"/>
  <c r="AD34" i="4"/>
  <c r="AC34" i="4"/>
  <c r="AB34" i="4"/>
  <c r="J34" i="4"/>
  <c r="I34" i="4"/>
  <c r="G34" i="4"/>
  <c r="BD34" i="4" s="1"/>
  <c r="F34" i="4"/>
  <c r="BJ32" i="4"/>
  <c r="BF32" i="4"/>
  <c r="BD32" i="4"/>
  <c r="AW32" i="4"/>
  <c r="AO32" i="4"/>
  <c r="AK32" i="4"/>
  <c r="AJ32" i="4"/>
  <c r="AH32" i="4"/>
  <c r="AG32" i="4"/>
  <c r="AF32" i="4"/>
  <c r="AE32" i="4"/>
  <c r="AD32" i="4"/>
  <c r="Z32" i="4"/>
  <c r="H32" i="4"/>
  <c r="G32" i="4"/>
  <c r="AP32" i="4" s="1"/>
  <c r="I32" i="4" s="1"/>
  <c r="F32" i="4"/>
  <c r="BJ30" i="4"/>
  <c r="BF30" i="4"/>
  <c r="BD30" i="4"/>
  <c r="AK30" i="4"/>
  <c r="AJ30" i="4"/>
  <c r="AH30" i="4"/>
  <c r="AE30" i="4"/>
  <c r="AD30" i="4"/>
  <c r="AC30" i="4"/>
  <c r="AB30" i="4"/>
  <c r="Z30" i="4"/>
  <c r="G30" i="4"/>
  <c r="AP30" i="4" s="1"/>
  <c r="F30" i="4"/>
  <c r="AT29" i="4"/>
  <c r="AS29" i="4"/>
  <c r="BJ28" i="4"/>
  <c r="BF28" i="4"/>
  <c r="BD28" i="4"/>
  <c r="AW28" i="4"/>
  <c r="AO28" i="4"/>
  <c r="AK28" i="4"/>
  <c r="AJ28" i="4"/>
  <c r="AH28" i="4"/>
  <c r="AG28" i="4"/>
  <c r="AF28" i="4"/>
  <c r="AE28" i="4"/>
  <c r="AD28" i="4"/>
  <c r="Z28" i="4"/>
  <c r="I28" i="4"/>
  <c r="H28" i="4"/>
  <c r="G28" i="4"/>
  <c r="AP28" i="4" s="1"/>
  <c r="F28" i="4"/>
  <c r="BI28" i="4" s="1"/>
  <c r="AC28" i="4" s="1"/>
  <c r="BJ27" i="4"/>
  <c r="BF27" i="4"/>
  <c r="BD27" i="4"/>
  <c r="AK27" i="4"/>
  <c r="AT26" i="4" s="1"/>
  <c r="AJ27" i="4"/>
  <c r="AH27" i="4"/>
  <c r="AG27" i="4"/>
  <c r="AF27" i="4"/>
  <c r="AE27" i="4"/>
  <c r="AD27" i="4"/>
  <c r="Z27" i="4"/>
  <c r="G27" i="4"/>
  <c r="AP27" i="4" s="1"/>
  <c r="F27" i="4"/>
  <c r="AS26" i="4"/>
  <c r="BJ25" i="4"/>
  <c r="BF25" i="4"/>
  <c r="BD25" i="4"/>
  <c r="AW25" i="4"/>
  <c r="AO25" i="4"/>
  <c r="AK25" i="4"/>
  <c r="AJ25" i="4"/>
  <c r="AH25" i="4"/>
  <c r="AG25" i="4"/>
  <c r="AF25" i="4"/>
  <c r="AE25" i="4"/>
  <c r="AD25" i="4"/>
  <c r="Z25" i="4"/>
  <c r="H25" i="4"/>
  <c r="G25" i="4"/>
  <c r="AP25" i="4" s="1"/>
  <c r="I25" i="4" s="1"/>
  <c r="F25" i="4"/>
  <c r="BJ24" i="4"/>
  <c r="BF24" i="4"/>
  <c r="BD24" i="4"/>
  <c r="AK24" i="4"/>
  <c r="AT22" i="4" s="1"/>
  <c r="AJ24" i="4"/>
  <c r="AH24" i="4"/>
  <c r="AG24" i="4"/>
  <c r="AF24" i="4"/>
  <c r="AE24" i="4"/>
  <c r="AD24" i="4"/>
  <c r="Z24" i="4"/>
  <c r="G24" i="4"/>
  <c r="AP24" i="4" s="1"/>
  <c r="F24" i="4"/>
  <c r="BF23" i="4"/>
  <c r="AK23" i="4"/>
  <c r="AJ23" i="4"/>
  <c r="AH23" i="4"/>
  <c r="AG23" i="4"/>
  <c r="AF23" i="4"/>
  <c r="AE23" i="4"/>
  <c r="AD23" i="4"/>
  <c r="Z23" i="4"/>
  <c r="G23" i="4"/>
  <c r="F23" i="4"/>
  <c r="AS22" i="4"/>
  <c r="BJ21" i="4"/>
  <c r="Z21" i="4" s="1"/>
  <c r="BF21" i="4"/>
  <c r="BD21" i="4"/>
  <c r="AK21" i="4"/>
  <c r="AJ21" i="4"/>
  <c r="AH21" i="4"/>
  <c r="AG21" i="4"/>
  <c r="AF21" i="4"/>
  <c r="AE21" i="4"/>
  <c r="AD21" i="4"/>
  <c r="AC21" i="4"/>
  <c r="AB21" i="4"/>
  <c r="G21" i="4"/>
  <c r="AP21" i="4" s="1"/>
  <c r="F21" i="4"/>
  <c r="BF20" i="4"/>
  <c r="AP20" i="4"/>
  <c r="BI20" i="4" s="1"/>
  <c r="AK20" i="4"/>
  <c r="AT18" i="4" s="1"/>
  <c r="AJ20" i="4"/>
  <c r="AS18" i="4" s="1"/>
  <c r="AH20" i="4"/>
  <c r="AG20" i="4"/>
  <c r="AF20" i="4"/>
  <c r="AE20" i="4"/>
  <c r="AD20" i="4"/>
  <c r="AC20" i="4"/>
  <c r="AB20" i="4"/>
  <c r="G20" i="4"/>
  <c r="F20" i="4"/>
  <c r="BF19" i="4"/>
  <c r="AO19" i="4"/>
  <c r="AK19" i="4"/>
  <c r="AJ19" i="4"/>
  <c r="AH19" i="4"/>
  <c r="AG19" i="4"/>
  <c r="AF19" i="4"/>
  <c r="AE19" i="4"/>
  <c r="AD19" i="4"/>
  <c r="Z19" i="4"/>
  <c r="G19" i="4"/>
  <c r="BD19" i="4" s="1"/>
  <c r="F19" i="4"/>
  <c r="BF17" i="4"/>
  <c r="AP17" i="4"/>
  <c r="BI17" i="4" s="1"/>
  <c r="AC17" i="4" s="1"/>
  <c r="AK17" i="4"/>
  <c r="AJ17" i="4"/>
  <c r="AS13" i="4" s="1"/>
  <c r="AH17" i="4"/>
  <c r="AG17" i="4"/>
  <c r="AF17" i="4"/>
  <c r="AE17" i="4"/>
  <c r="AD17" i="4"/>
  <c r="Z17" i="4"/>
  <c r="G17" i="4"/>
  <c r="F17" i="4"/>
  <c r="BH16" i="4"/>
  <c r="AB16" i="4" s="1"/>
  <c r="BF16" i="4"/>
  <c r="AO16" i="4"/>
  <c r="AK16" i="4"/>
  <c r="AJ16" i="4"/>
  <c r="AH16" i="4"/>
  <c r="AG16" i="4"/>
  <c r="AF16" i="4"/>
  <c r="AE16" i="4"/>
  <c r="AD16" i="4"/>
  <c r="Z16" i="4"/>
  <c r="J16" i="4"/>
  <c r="AL16" i="4" s="1"/>
  <c r="G16" i="4"/>
  <c r="BD16" i="4" s="1"/>
  <c r="F16" i="4"/>
  <c r="BJ15" i="4"/>
  <c r="BF15" i="4"/>
  <c r="BD15" i="4"/>
  <c r="AW15" i="4"/>
  <c r="AO15" i="4"/>
  <c r="AK15" i="4"/>
  <c r="AJ15" i="4"/>
  <c r="AH15" i="4"/>
  <c r="AG15" i="4"/>
  <c r="AF15" i="4"/>
  <c r="AE15" i="4"/>
  <c r="AD15" i="4"/>
  <c r="Z15" i="4"/>
  <c r="H15" i="4"/>
  <c r="G15" i="4"/>
  <c r="AP15" i="4" s="1"/>
  <c r="I15" i="4" s="1"/>
  <c r="F15" i="4"/>
  <c r="BI15" i="4" s="1"/>
  <c r="AC15" i="4" s="1"/>
  <c r="BJ14" i="4"/>
  <c r="BF14" i="4"/>
  <c r="BD14" i="4"/>
  <c r="AK14" i="4"/>
  <c r="AJ14" i="4"/>
  <c r="AH14" i="4"/>
  <c r="AG14" i="4"/>
  <c r="AF14" i="4"/>
  <c r="AE14" i="4"/>
  <c r="AD14" i="4"/>
  <c r="Z14" i="4"/>
  <c r="G14" i="4"/>
  <c r="AP14" i="4" s="1"/>
  <c r="F14" i="4"/>
  <c r="AT13" i="4"/>
  <c r="I8" i="4"/>
  <c r="G8" i="4"/>
  <c r="C8" i="4"/>
  <c r="I6" i="4"/>
  <c r="G6" i="4"/>
  <c r="C6" i="4"/>
  <c r="I4" i="4"/>
  <c r="G4" i="4"/>
  <c r="C4" i="4"/>
  <c r="I2" i="4"/>
  <c r="G2" i="4"/>
  <c r="C2" i="4"/>
  <c r="AU1" i="4"/>
  <c r="AT1" i="4"/>
  <c r="AS1" i="4"/>
  <c r="BJ205" i="3"/>
  <c r="AH205" i="3" s="1"/>
  <c r="BF205" i="3"/>
  <c r="BD205" i="3"/>
  <c r="AW205" i="3"/>
  <c r="AP205" i="3"/>
  <c r="BI205" i="3" s="1"/>
  <c r="AO205" i="3"/>
  <c r="BH205" i="3" s="1"/>
  <c r="AL205" i="3"/>
  <c r="AK205" i="3"/>
  <c r="AJ205" i="3"/>
  <c r="AG205" i="3"/>
  <c r="AF205" i="3"/>
  <c r="AE205" i="3"/>
  <c r="AD205" i="3"/>
  <c r="AC205" i="3"/>
  <c r="AB205" i="3"/>
  <c r="Z205" i="3"/>
  <c r="J205" i="3"/>
  <c r="H205" i="3"/>
  <c r="BJ203" i="3"/>
  <c r="AH203" i="3" s="1"/>
  <c r="BF203" i="3"/>
  <c r="BD203" i="3"/>
  <c r="AX203" i="3"/>
  <c r="AW203" i="3"/>
  <c r="AP203" i="3"/>
  <c r="BI203" i="3" s="1"/>
  <c r="AO203" i="3"/>
  <c r="BH203" i="3" s="1"/>
  <c r="AL203" i="3"/>
  <c r="AK203" i="3"/>
  <c r="AJ203" i="3"/>
  <c r="AG203" i="3"/>
  <c r="AF203" i="3"/>
  <c r="AE203" i="3"/>
  <c r="AD203" i="3"/>
  <c r="AC203" i="3"/>
  <c r="AB203" i="3"/>
  <c r="Z203" i="3"/>
  <c r="J203" i="3"/>
  <c r="I203" i="3"/>
  <c r="H203" i="3"/>
  <c r="BJ202" i="3"/>
  <c r="BF202" i="3"/>
  <c r="BD202" i="3"/>
  <c r="AX202" i="3"/>
  <c r="AP202" i="3"/>
  <c r="BI202" i="3" s="1"/>
  <c r="AO202" i="3"/>
  <c r="AK202" i="3"/>
  <c r="AJ202" i="3"/>
  <c r="AH202" i="3"/>
  <c r="AG202" i="3"/>
  <c r="AF202" i="3"/>
  <c r="AE202" i="3"/>
  <c r="AD202" i="3"/>
  <c r="AC202" i="3"/>
  <c r="AB202" i="3"/>
  <c r="Z202" i="3"/>
  <c r="J202" i="3"/>
  <c r="AL202" i="3" s="1"/>
  <c r="I202" i="3"/>
  <c r="BJ201" i="3"/>
  <c r="BI201" i="3"/>
  <c r="BH201" i="3"/>
  <c r="BF201" i="3"/>
  <c r="BD201" i="3"/>
  <c r="AX201" i="3"/>
  <c r="AP201" i="3"/>
  <c r="I201" i="3" s="1"/>
  <c r="AO201" i="3"/>
  <c r="AK201" i="3"/>
  <c r="AJ201" i="3"/>
  <c r="AS200" i="3" s="1"/>
  <c r="AH201" i="3"/>
  <c r="AG201" i="3"/>
  <c r="AF201" i="3"/>
  <c r="AE201" i="3"/>
  <c r="AD201" i="3"/>
  <c r="AC201" i="3"/>
  <c r="AB201" i="3"/>
  <c r="Z201" i="3"/>
  <c r="J201" i="3"/>
  <c r="AT200" i="3"/>
  <c r="BJ199" i="3"/>
  <c r="BH199" i="3"/>
  <c r="BF199" i="3"/>
  <c r="BD199" i="3"/>
  <c r="AW199" i="3"/>
  <c r="AP199" i="3"/>
  <c r="AO199" i="3"/>
  <c r="H199" i="3" s="1"/>
  <c r="AL199" i="3"/>
  <c r="AK199" i="3"/>
  <c r="AJ199" i="3"/>
  <c r="AS198" i="3" s="1"/>
  <c r="AH199" i="3"/>
  <c r="AG199" i="3"/>
  <c r="AF199" i="3"/>
  <c r="AE199" i="3"/>
  <c r="AD199" i="3"/>
  <c r="AC199" i="3"/>
  <c r="AB199" i="3"/>
  <c r="Z199" i="3"/>
  <c r="J199" i="3"/>
  <c r="J198" i="3" s="1"/>
  <c r="AU198" i="3"/>
  <c r="AT198" i="3"/>
  <c r="H198" i="3"/>
  <c r="BJ196" i="3"/>
  <c r="Z196" i="3" s="1"/>
  <c r="BF196" i="3"/>
  <c r="BD196" i="3"/>
  <c r="AX196" i="3"/>
  <c r="AP196" i="3"/>
  <c r="BI196" i="3" s="1"/>
  <c r="AO196" i="3"/>
  <c r="AK196" i="3"/>
  <c r="AJ196" i="3"/>
  <c r="AH196" i="3"/>
  <c r="AG196" i="3"/>
  <c r="AF196" i="3"/>
  <c r="AE196" i="3"/>
  <c r="AD196" i="3"/>
  <c r="AC196" i="3"/>
  <c r="AB196" i="3"/>
  <c r="J196" i="3"/>
  <c r="AL196" i="3" s="1"/>
  <c r="AU195" i="3" s="1"/>
  <c r="I196" i="3"/>
  <c r="I195" i="3" s="1"/>
  <c r="AT195" i="3"/>
  <c r="AS195" i="3"/>
  <c r="J195" i="3"/>
  <c r="BJ194" i="3"/>
  <c r="BI194" i="3"/>
  <c r="BF194" i="3"/>
  <c r="BD194" i="3"/>
  <c r="AW194" i="3"/>
  <c r="BC194" i="3" s="1"/>
  <c r="AV194" i="3"/>
  <c r="AP194" i="3"/>
  <c r="AX194" i="3" s="1"/>
  <c r="AO194" i="3"/>
  <c r="BH194" i="3" s="1"/>
  <c r="AL194" i="3"/>
  <c r="AU193" i="3" s="1"/>
  <c r="AK194" i="3"/>
  <c r="AT193" i="3" s="1"/>
  <c r="AJ194" i="3"/>
  <c r="AH194" i="3"/>
  <c r="AG194" i="3"/>
  <c r="AF194" i="3"/>
  <c r="AE194" i="3"/>
  <c r="AD194" i="3"/>
  <c r="AC194" i="3"/>
  <c r="AB194" i="3"/>
  <c r="Z194" i="3"/>
  <c r="J194" i="3"/>
  <c r="I194" i="3"/>
  <c r="H194" i="3"/>
  <c r="H193" i="3" s="1"/>
  <c r="AS193" i="3"/>
  <c r="J193" i="3"/>
  <c r="I193" i="3"/>
  <c r="BJ191" i="3"/>
  <c r="BH191" i="3"/>
  <c r="AB191" i="3" s="1"/>
  <c r="BF191" i="3"/>
  <c r="BD191" i="3"/>
  <c r="AX191" i="3"/>
  <c r="AV191" i="3"/>
  <c r="AP191" i="3"/>
  <c r="I191" i="3" s="1"/>
  <c r="AO191" i="3"/>
  <c r="AW191" i="3" s="1"/>
  <c r="BC191" i="3" s="1"/>
  <c r="AK191" i="3"/>
  <c r="AJ191" i="3"/>
  <c r="AH191" i="3"/>
  <c r="AG191" i="3"/>
  <c r="AF191" i="3"/>
  <c r="AE191" i="3"/>
  <c r="AD191" i="3"/>
  <c r="Z191" i="3"/>
  <c r="J191" i="3"/>
  <c r="H191" i="3"/>
  <c r="BJ189" i="3"/>
  <c r="BI189" i="3"/>
  <c r="BF189" i="3"/>
  <c r="BD189" i="3"/>
  <c r="AW189" i="3"/>
  <c r="BC189" i="3" s="1"/>
  <c r="AV189" i="3"/>
  <c r="AP189" i="3"/>
  <c r="AX189" i="3" s="1"/>
  <c r="AO189" i="3"/>
  <c r="BH189" i="3" s="1"/>
  <c r="AL189" i="3"/>
  <c r="AK189" i="3"/>
  <c r="AT188" i="3" s="1"/>
  <c r="AJ189" i="3"/>
  <c r="AH189" i="3"/>
  <c r="AG189" i="3"/>
  <c r="AF189" i="3"/>
  <c r="AE189" i="3"/>
  <c r="AD189" i="3"/>
  <c r="AC189" i="3"/>
  <c r="AB189" i="3"/>
  <c r="Z189" i="3"/>
  <c r="J189" i="3"/>
  <c r="I189" i="3"/>
  <c r="H189" i="3"/>
  <c r="H188" i="3" s="1"/>
  <c r="I188" i="3"/>
  <c r="BJ186" i="3"/>
  <c r="BF186" i="3"/>
  <c r="BD186" i="3"/>
  <c r="AX186" i="3"/>
  <c r="AW186" i="3"/>
  <c r="AP186" i="3"/>
  <c r="BI186" i="3" s="1"/>
  <c r="AC186" i="3" s="1"/>
  <c r="AO186" i="3"/>
  <c r="H186" i="3" s="1"/>
  <c r="H185" i="3" s="1"/>
  <c r="AL186" i="3"/>
  <c r="AU185" i="3" s="1"/>
  <c r="AK186" i="3"/>
  <c r="AJ186" i="3"/>
  <c r="AH186" i="3"/>
  <c r="AG186" i="3"/>
  <c r="AF186" i="3"/>
  <c r="AE186" i="3"/>
  <c r="AD186" i="3"/>
  <c r="Z186" i="3"/>
  <c r="J186" i="3"/>
  <c r="J185" i="3" s="1"/>
  <c r="I186" i="3"/>
  <c r="I185" i="3" s="1"/>
  <c r="AT185" i="3"/>
  <c r="AS185" i="3"/>
  <c r="BJ184" i="3"/>
  <c r="BF184" i="3"/>
  <c r="BD184" i="3"/>
  <c r="AW184" i="3"/>
  <c r="AP184" i="3"/>
  <c r="BI184" i="3" s="1"/>
  <c r="AC184" i="3" s="1"/>
  <c r="AO184" i="3"/>
  <c r="BH184" i="3" s="1"/>
  <c r="AL184" i="3"/>
  <c r="AK184" i="3"/>
  <c r="AJ184" i="3"/>
  <c r="AH184" i="3"/>
  <c r="AG184" i="3"/>
  <c r="AF184" i="3"/>
  <c r="AE184" i="3"/>
  <c r="AD184" i="3"/>
  <c r="AB184" i="3"/>
  <c r="Z184" i="3"/>
  <c r="J184" i="3"/>
  <c r="I184" i="3"/>
  <c r="H184" i="3"/>
  <c r="BJ183" i="3"/>
  <c r="BF183" i="3"/>
  <c r="BD183" i="3"/>
  <c r="AX183" i="3"/>
  <c r="AW183" i="3"/>
  <c r="AP183" i="3"/>
  <c r="BI183" i="3" s="1"/>
  <c r="AC183" i="3" s="1"/>
  <c r="AO183" i="3"/>
  <c r="H183" i="3" s="1"/>
  <c r="AL183" i="3"/>
  <c r="AK183" i="3"/>
  <c r="AJ183" i="3"/>
  <c r="AH183" i="3"/>
  <c r="AG183" i="3"/>
  <c r="AF183" i="3"/>
  <c r="AE183" i="3"/>
  <c r="AD183" i="3"/>
  <c r="Z183" i="3"/>
  <c r="J183" i="3"/>
  <c r="I183" i="3"/>
  <c r="BJ182" i="3"/>
  <c r="BF182" i="3"/>
  <c r="BD182" i="3"/>
  <c r="AX182" i="3"/>
  <c r="AP182" i="3"/>
  <c r="I182" i="3" s="1"/>
  <c r="AO182" i="3"/>
  <c r="BH182" i="3" s="1"/>
  <c r="AB182" i="3" s="1"/>
  <c r="AK182" i="3"/>
  <c r="AJ182" i="3"/>
  <c r="AH182" i="3"/>
  <c r="AG182" i="3"/>
  <c r="AF182" i="3"/>
  <c r="AE182" i="3"/>
  <c r="AD182" i="3"/>
  <c r="Z182" i="3"/>
  <c r="J182" i="3"/>
  <c r="AL182" i="3" s="1"/>
  <c r="BJ181" i="3"/>
  <c r="BF181" i="3"/>
  <c r="BD181" i="3"/>
  <c r="AP181" i="3"/>
  <c r="AO181" i="3"/>
  <c r="BH181" i="3" s="1"/>
  <c r="AB181" i="3" s="1"/>
  <c r="AK181" i="3"/>
  <c r="AJ181" i="3"/>
  <c r="AS179" i="3" s="1"/>
  <c r="AH181" i="3"/>
  <c r="AG181" i="3"/>
  <c r="AF181" i="3"/>
  <c r="AE181" i="3"/>
  <c r="AD181" i="3"/>
  <c r="Z181" i="3"/>
  <c r="J181" i="3"/>
  <c r="AL181" i="3" s="1"/>
  <c r="H181" i="3"/>
  <c r="BJ180" i="3"/>
  <c r="BF180" i="3"/>
  <c r="BD180" i="3"/>
  <c r="AW180" i="3"/>
  <c r="AP180" i="3"/>
  <c r="BI180" i="3" s="1"/>
  <c r="AC180" i="3" s="1"/>
  <c r="AO180" i="3"/>
  <c r="BH180" i="3" s="1"/>
  <c r="AL180" i="3"/>
  <c r="AU179" i="3" s="1"/>
  <c r="AK180" i="3"/>
  <c r="AT179" i="3" s="1"/>
  <c r="AJ180" i="3"/>
  <c r="AH180" i="3"/>
  <c r="AG180" i="3"/>
  <c r="AF180" i="3"/>
  <c r="AE180" i="3"/>
  <c r="AD180" i="3"/>
  <c r="AB180" i="3"/>
  <c r="Z180" i="3"/>
  <c r="J180" i="3"/>
  <c r="I180" i="3"/>
  <c r="H180" i="3"/>
  <c r="J179" i="3"/>
  <c r="BJ176" i="3"/>
  <c r="BF176" i="3"/>
  <c r="BD176" i="3"/>
  <c r="AX176" i="3"/>
  <c r="AP176" i="3"/>
  <c r="I176" i="3" s="1"/>
  <c r="AO176" i="3"/>
  <c r="AK176" i="3"/>
  <c r="AJ176" i="3"/>
  <c r="AH176" i="3"/>
  <c r="AG176" i="3"/>
  <c r="AF176" i="3"/>
  <c r="AE176" i="3"/>
  <c r="AD176" i="3"/>
  <c r="AC176" i="3"/>
  <c r="AB176" i="3"/>
  <c r="Z176" i="3"/>
  <c r="J176" i="3"/>
  <c r="AL176" i="3" s="1"/>
  <c r="BJ174" i="3"/>
  <c r="AH174" i="3" s="1"/>
  <c r="BF174" i="3"/>
  <c r="BD174" i="3"/>
  <c r="AP174" i="3"/>
  <c r="BI174" i="3" s="1"/>
  <c r="AO174" i="3"/>
  <c r="BH174" i="3" s="1"/>
  <c r="AK174" i="3"/>
  <c r="AJ174" i="3"/>
  <c r="AS171" i="3" s="1"/>
  <c r="AG174" i="3"/>
  <c r="AF174" i="3"/>
  <c r="AE174" i="3"/>
  <c r="AD174" i="3"/>
  <c r="AC174" i="3"/>
  <c r="AB174" i="3"/>
  <c r="Z174" i="3"/>
  <c r="J174" i="3"/>
  <c r="AL174" i="3" s="1"/>
  <c r="H174" i="3"/>
  <c r="BJ172" i="3"/>
  <c r="AH172" i="3" s="1"/>
  <c r="BF172" i="3"/>
  <c r="BD172" i="3"/>
  <c r="AW172" i="3"/>
  <c r="AP172" i="3"/>
  <c r="BI172" i="3" s="1"/>
  <c r="AO172" i="3"/>
  <c r="BH172" i="3" s="1"/>
  <c r="AL172" i="3"/>
  <c r="AU171" i="3" s="1"/>
  <c r="AK172" i="3"/>
  <c r="AT171" i="3" s="1"/>
  <c r="AJ172" i="3"/>
  <c r="AG172" i="3"/>
  <c r="AF172" i="3"/>
  <c r="AE172" i="3"/>
  <c r="AD172" i="3"/>
  <c r="AC172" i="3"/>
  <c r="AB172" i="3"/>
  <c r="Z172" i="3"/>
  <c r="J172" i="3"/>
  <c r="I172" i="3"/>
  <c r="H172" i="3"/>
  <c r="BJ170" i="3"/>
  <c r="BF170" i="3"/>
  <c r="BD170" i="3"/>
  <c r="AP170" i="3"/>
  <c r="AO170" i="3"/>
  <c r="BH170" i="3" s="1"/>
  <c r="AK170" i="3"/>
  <c r="AT169" i="3" s="1"/>
  <c r="AJ170" i="3"/>
  <c r="AS169" i="3" s="1"/>
  <c r="AH170" i="3"/>
  <c r="AG170" i="3"/>
  <c r="AF170" i="3"/>
  <c r="AE170" i="3"/>
  <c r="AD170" i="3"/>
  <c r="AC170" i="3"/>
  <c r="AB170" i="3"/>
  <c r="Z170" i="3"/>
  <c r="J170" i="3"/>
  <c r="AL170" i="3" s="1"/>
  <c r="AU169" i="3" s="1"/>
  <c r="H170" i="3"/>
  <c r="H169" i="3" s="1"/>
  <c r="J169" i="3"/>
  <c r="BJ166" i="3"/>
  <c r="BF166" i="3"/>
  <c r="BD166" i="3"/>
  <c r="AX166" i="3"/>
  <c r="AW166" i="3"/>
  <c r="AP166" i="3"/>
  <c r="BI166" i="3" s="1"/>
  <c r="AO166" i="3"/>
  <c r="H166" i="3" s="1"/>
  <c r="AL166" i="3"/>
  <c r="AK166" i="3"/>
  <c r="AJ166" i="3"/>
  <c r="AH166" i="3"/>
  <c r="AG166" i="3"/>
  <c r="AF166" i="3"/>
  <c r="AE166" i="3"/>
  <c r="AD166" i="3"/>
  <c r="AC166" i="3"/>
  <c r="AB166" i="3"/>
  <c r="Z166" i="3"/>
  <c r="J166" i="3"/>
  <c r="I166" i="3"/>
  <c r="BJ165" i="3"/>
  <c r="BF165" i="3"/>
  <c r="BD165" i="3"/>
  <c r="AX165" i="3"/>
  <c r="AP165" i="3"/>
  <c r="I165" i="3" s="1"/>
  <c r="AO165" i="3"/>
  <c r="AK165" i="3"/>
  <c r="AJ165" i="3"/>
  <c r="AH165" i="3"/>
  <c r="AG165" i="3"/>
  <c r="AF165" i="3"/>
  <c r="AE165" i="3"/>
  <c r="AD165" i="3"/>
  <c r="AC165" i="3"/>
  <c r="AB165" i="3"/>
  <c r="Z165" i="3"/>
  <c r="J165" i="3"/>
  <c r="AL165" i="3" s="1"/>
  <c r="BJ164" i="3"/>
  <c r="AH164" i="3" s="1"/>
  <c r="BF164" i="3"/>
  <c r="BD164" i="3"/>
  <c r="AP164" i="3"/>
  <c r="AO164" i="3"/>
  <c r="BH164" i="3" s="1"/>
  <c r="AK164" i="3"/>
  <c r="AJ164" i="3"/>
  <c r="AS162" i="3" s="1"/>
  <c r="AG164" i="3"/>
  <c r="AF164" i="3"/>
  <c r="AE164" i="3"/>
  <c r="AD164" i="3"/>
  <c r="AC164" i="3"/>
  <c r="AB164" i="3"/>
  <c r="Z164" i="3"/>
  <c r="J164" i="3"/>
  <c r="AL164" i="3" s="1"/>
  <c r="H164" i="3"/>
  <c r="BJ163" i="3"/>
  <c r="AH163" i="3" s="1"/>
  <c r="BF163" i="3"/>
  <c r="BD163" i="3"/>
  <c r="AW163" i="3"/>
  <c r="AP163" i="3"/>
  <c r="BI163" i="3" s="1"/>
  <c r="AO163" i="3"/>
  <c r="BH163" i="3" s="1"/>
  <c r="AL163" i="3"/>
  <c r="AU162" i="3" s="1"/>
  <c r="AK163" i="3"/>
  <c r="AT162" i="3" s="1"/>
  <c r="AJ163" i="3"/>
  <c r="AG163" i="3"/>
  <c r="AF163" i="3"/>
  <c r="AE163" i="3"/>
  <c r="AD163" i="3"/>
  <c r="AC163" i="3"/>
  <c r="AB163" i="3"/>
  <c r="Z163" i="3"/>
  <c r="J163" i="3"/>
  <c r="I163" i="3"/>
  <c r="H163" i="3"/>
  <c r="BJ161" i="3"/>
  <c r="BF161" i="3"/>
  <c r="BD161" i="3"/>
  <c r="AP161" i="3"/>
  <c r="AO161" i="3"/>
  <c r="BH161" i="3" s="1"/>
  <c r="AK161" i="3"/>
  <c r="AT160" i="3" s="1"/>
  <c r="AJ161" i="3"/>
  <c r="AS160" i="3" s="1"/>
  <c r="AH161" i="3"/>
  <c r="AG161" i="3"/>
  <c r="AF161" i="3"/>
  <c r="AE161" i="3"/>
  <c r="AD161" i="3"/>
  <c r="AC161" i="3"/>
  <c r="AB161" i="3"/>
  <c r="Z161" i="3"/>
  <c r="J161" i="3"/>
  <c r="AL161" i="3" s="1"/>
  <c r="AU160" i="3" s="1"/>
  <c r="H161" i="3"/>
  <c r="H160" i="3" s="1"/>
  <c r="J160" i="3"/>
  <c r="BJ158" i="3"/>
  <c r="BF158" i="3"/>
  <c r="BD158" i="3"/>
  <c r="AX158" i="3"/>
  <c r="AP158" i="3"/>
  <c r="I158" i="3" s="1"/>
  <c r="I157" i="3" s="1"/>
  <c r="AO158" i="3"/>
  <c r="AK158" i="3"/>
  <c r="AJ158" i="3"/>
  <c r="AS157" i="3" s="1"/>
  <c r="AH158" i="3"/>
  <c r="AG158" i="3"/>
  <c r="AF158" i="3"/>
  <c r="AE158" i="3"/>
  <c r="AD158" i="3"/>
  <c r="Z158" i="3"/>
  <c r="J158" i="3"/>
  <c r="AT157" i="3"/>
  <c r="BJ156" i="3"/>
  <c r="BF156" i="3"/>
  <c r="BD156" i="3"/>
  <c r="AX156" i="3"/>
  <c r="AW156" i="3"/>
  <c r="AP156" i="3"/>
  <c r="BI156" i="3" s="1"/>
  <c r="AC156" i="3" s="1"/>
  <c r="AO156" i="3"/>
  <c r="H156" i="3" s="1"/>
  <c r="AL156" i="3"/>
  <c r="AK156" i="3"/>
  <c r="AJ156" i="3"/>
  <c r="AH156" i="3"/>
  <c r="AG156" i="3"/>
  <c r="AF156" i="3"/>
  <c r="AE156" i="3"/>
  <c r="AD156" i="3"/>
  <c r="Z156" i="3"/>
  <c r="J156" i="3"/>
  <c r="I156" i="3"/>
  <c r="BJ155" i="3"/>
  <c r="BH155" i="3"/>
  <c r="AB155" i="3" s="1"/>
  <c r="BF155" i="3"/>
  <c r="BD155" i="3"/>
  <c r="AX155" i="3"/>
  <c r="AP155" i="3"/>
  <c r="I155" i="3" s="1"/>
  <c r="AO155" i="3"/>
  <c r="AK155" i="3"/>
  <c r="AJ155" i="3"/>
  <c r="AH155" i="3"/>
  <c r="AG155" i="3"/>
  <c r="AF155" i="3"/>
  <c r="AE155" i="3"/>
  <c r="AD155" i="3"/>
  <c r="Z155" i="3"/>
  <c r="J155" i="3"/>
  <c r="AL155" i="3" s="1"/>
  <c r="BJ154" i="3"/>
  <c r="BF154" i="3"/>
  <c r="BD154" i="3"/>
  <c r="AP154" i="3"/>
  <c r="AO154" i="3"/>
  <c r="BH154" i="3" s="1"/>
  <c r="AB154" i="3" s="1"/>
  <c r="AK154" i="3"/>
  <c r="AJ154" i="3"/>
  <c r="AS152" i="3" s="1"/>
  <c r="AH154" i="3"/>
  <c r="AG154" i="3"/>
  <c r="AF154" i="3"/>
  <c r="AE154" i="3"/>
  <c r="AD154" i="3"/>
  <c r="Z154" i="3"/>
  <c r="J154" i="3"/>
  <c r="AL154" i="3" s="1"/>
  <c r="H154" i="3"/>
  <c r="BJ153" i="3"/>
  <c r="BF153" i="3"/>
  <c r="BD153" i="3"/>
  <c r="AW153" i="3"/>
  <c r="AP153" i="3"/>
  <c r="BI153" i="3" s="1"/>
  <c r="AC153" i="3" s="1"/>
  <c r="AO153" i="3"/>
  <c r="BH153" i="3" s="1"/>
  <c r="AB153" i="3" s="1"/>
  <c r="AL153" i="3"/>
  <c r="AK153" i="3"/>
  <c r="AT152" i="3" s="1"/>
  <c r="AJ153" i="3"/>
  <c r="AH153" i="3"/>
  <c r="AG153" i="3"/>
  <c r="AF153" i="3"/>
  <c r="AE153" i="3"/>
  <c r="AD153" i="3"/>
  <c r="Z153" i="3"/>
  <c r="J153" i="3"/>
  <c r="I153" i="3"/>
  <c r="H153" i="3"/>
  <c r="BJ150" i="3"/>
  <c r="BF150" i="3"/>
  <c r="BD150" i="3"/>
  <c r="AP150" i="3"/>
  <c r="BI150" i="3" s="1"/>
  <c r="AO150" i="3"/>
  <c r="BH150" i="3" s="1"/>
  <c r="AK150" i="3"/>
  <c r="AJ150" i="3"/>
  <c r="AH150" i="3"/>
  <c r="AG150" i="3"/>
  <c r="AF150" i="3"/>
  <c r="AE150" i="3"/>
  <c r="AD150" i="3"/>
  <c r="AC150" i="3"/>
  <c r="AB150" i="3"/>
  <c r="Z150" i="3"/>
  <c r="J150" i="3"/>
  <c r="AL150" i="3" s="1"/>
  <c r="H150" i="3"/>
  <c r="BJ149" i="3"/>
  <c r="BF149" i="3"/>
  <c r="BD149" i="3"/>
  <c r="AW149" i="3"/>
  <c r="AP149" i="3"/>
  <c r="BI149" i="3" s="1"/>
  <c r="AC149" i="3" s="1"/>
  <c r="AO149" i="3"/>
  <c r="BH149" i="3" s="1"/>
  <c r="AB149" i="3" s="1"/>
  <c r="AL149" i="3"/>
  <c r="AK149" i="3"/>
  <c r="AJ149" i="3"/>
  <c r="AH149" i="3"/>
  <c r="AG149" i="3"/>
  <c r="AF149" i="3"/>
  <c r="AE149" i="3"/>
  <c r="AD149" i="3"/>
  <c r="Z149" i="3"/>
  <c r="J149" i="3"/>
  <c r="I149" i="3"/>
  <c r="H149" i="3"/>
  <c r="BJ147" i="3"/>
  <c r="BF147" i="3"/>
  <c r="BD147" i="3"/>
  <c r="AX147" i="3"/>
  <c r="AW147" i="3"/>
  <c r="AP147" i="3"/>
  <c r="BI147" i="3" s="1"/>
  <c r="AC147" i="3" s="1"/>
  <c r="AO147" i="3"/>
  <c r="H147" i="3" s="1"/>
  <c r="AL147" i="3"/>
  <c r="AK147" i="3"/>
  <c r="AJ147" i="3"/>
  <c r="AH147" i="3"/>
  <c r="AG147" i="3"/>
  <c r="AF147" i="3"/>
  <c r="AE147" i="3"/>
  <c r="AD147" i="3"/>
  <c r="Z147" i="3"/>
  <c r="J147" i="3"/>
  <c r="I147" i="3"/>
  <c r="BJ145" i="3"/>
  <c r="BH145" i="3"/>
  <c r="AB145" i="3" s="1"/>
  <c r="BF145" i="3"/>
  <c r="BD145" i="3"/>
  <c r="AX145" i="3"/>
  <c r="AP145" i="3"/>
  <c r="I145" i="3" s="1"/>
  <c r="AO145" i="3"/>
  <c r="AK145" i="3"/>
  <c r="AJ145" i="3"/>
  <c r="AH145" i="3"/>
  <c r="AG145" i="3"/>
  <c r="AF145" i="3"/>
  <c r="AE145" i="3"/>
  <c r="AD145" i="3"/>
  <c r="Z145" i="3"/>
  <c r="J145" i="3"/>
  <c r="AL145" i="3" s="1"/>
  <c r="BJ143" i="3"/>
  <c r="BI143" i="3"/>
  <c r="AC143" i="3" s="1"/>
  <c r="BF143" i="3"/>
  <c r="BD143" i="3"/>
  <c r="AW143" i="3"/>
  <c r="AP143" i="3"/>
  <c r="AO143" i="3"/>
  <c r="BH143" i="3" s="1"/>
  <c r="AB143" i="3" s="1"/>
  <c r="AK143" i="3"/>
  <c r="AJ143" i="3"/>
  <c r="AH143" i="3"/>
  <c r="AG143" i="3"/>
  <c r="AF143" i="3"/>
  <c r="AE143" i="3"/>
  <c r="AD143" i="3"/>
  <c r="Z143" i="3"/>
  <c r="J143" i="3"/>
  <c r="AL143" i="3" s="1"/>
  <c r="H143" i="3"/>
  <c r="BJ142" i="3"/>
  <c r="BF142" i="3"/>
  <c r="BD142" i="3"/>
  <c r="AX142" i="3"/>
  <c r="AW142" i="3"/>
  <c r="BC142" i="3" s="1"/>
  <c r="AV142" i="3"/>
  <c r="AP142" i="3"/>
  <c r="BI142" i="3" s="1"/>
  <c r="AC142" i="3" s="1"/>
  <c r="AO142" i="3"/>
  <c r="BH142" i="3" s="1"/>
  <c r="AB142" i="3" s="1"/>
  <c r="AL142" i="3"/>
  <c r="AK142" i="3"/>
  <c r="AT139" i="3" s="1"/>
  <c r="AJ142" i="3"/>
  <c r="AH142" i="3"/>
  <c r="AG142" i="3"/>
  <c r="AF142" i="3"/>
  <c r="AE142" i="3"/>
  <c r="AD142" i="3"/>
  <c r="Z142" i="3"/>
  <c r="J142" i="3"/>
  <c r="I142" i="3"/>
  <c r="H142" i="3"/>
  <c r="BJ141" i="3"/>
  <c r="BF141" i="3"/>
  <c r="BD141" i="3"/>
  <c r="AX141" i="3"/>
  <c r="AW141" i="3"/>
  <c r="AP141" i="3"/>
  <c r="BI141" i="3" s="1"/>
  <c r="AO141" i="3"/>
  <c r="H141" i="3" s="1"/>
  <c r="AL141" i="3"/>
  <c r="AK141" i="3"/>
  <c r="AJ141" i="3"/>
  <c r="AH141" i="3"/>
  <c r="AG141" i="3"/>
  <c r="AF141" i="3"/>
  <c r="AE141" i="3"/>
  <c r="AD141" i="3"/>
  <c r="AC141" i="3"/>
  <c r="Z141" i="3"/>
  <c r="J141" i="3"/>
  <c r="I141" i="3"/>
  <c r="BJ140" i="3"/>
  <c r="BH140" i="3"/>
  <c r="AB140" i="3" s="1"/>
  <c r="BF140" i="3"/>
  <c r="BD140" i="3"/>
  <c r="AX140" i="3"/>
  <c r="AP140" i="3"/>
  <c r="I140" i="3" s="1"/>
  <c r="AO140" i="3"/>
  <c r="AK140" i="3"/>
  <c r="AJ140" i="3"/>
  <c r="AS139" i="3" s="1"/>
  <c r="AH140" i="3"/>
  <c r="AG140" i="3"/>
  <c r="AF140" i="3"/>
  <c r="AE140" i="3"/>
  <c r="AD140" i="3"/>
  <c r="Z140" i="3"/>
  <c r="J140" i="3"/>
  <c r="BJ137" i="3"/>
  <c r="AH137" i="3" s="1"/>
  <c r="BF137" i="3"/>
  <c r="BD137" i="3"/>
  <c r="AW137" i="3"/>
  <c r="AP137" i="3"/>
  <c r="BI137" i="3" s="1"/>
  <c r="AO137" i="3"/>
  <c r="BH137" i="3" s="1"/>
  <c r="AL137" i="3"/>
  <c r="AK137" i="3"/>
  <c r="AJ137" i="3"/>
  <c r="AG137" i="3"/>
  <c r="AF137" i="3"/>
  <c r="AE137" i="3"/>
  <c r="AD137" i="3"/>
  <c r="AC137" i="3"/>
  <c r="AB137" i="3"/>
  <c r="Z137" i="3"/>
  <c r="J137" i="3"/>
  <c r="I137" i="3"/>
  <c r="H137" i="3"/>
  <c r="BJ136" i="3"/>
  <c r="BF136" i="3"/>
  <c r="BD136" i="3"/>
  <c r="AX136" i="3"/>
  <c r="AW136" i="3"/>
  <c r="AP136" i="3"/>
  <c r="BI136" i="3" s="1"/>
  <c r="AO136" i="3"/>
  <c r="H136" i="3" s="1"/>
  <c r="AL136" i="3"/>
  <c r="AK136" i="3"/>
  <c r="AJ136" i="3"/>
  <c r="AH136" i="3"/>
  <c r="AG136" i="3"/>
  <c r="AF136" i="3"/>
  <c r="AE136" i="3"/>
  <c r="AD136" i="3"/>
  <c r="AC136" i="3"/>
  <c r="AB136" i="3"/>
  <c r="Z136" i="3"/>
  <c r="J136" i="3"/>
  <c r="I136" i="3"/>
  <c r="BJ135" i="3"/>
  <c r="BH135" i="3"/>
  <c r="BF135" i="3"/>
  <c r="BD135" i="3"/>
  <c r="AX135" i="3"/>
  <c r="AP135" i="3"/>
  <c r="I135" i="3" s="1"/>
  <c r="AO135" i="3"/>
  <c r="AK135" i="3"/>
  <c r="AJ135" i="3"/>
  <c r="AH135" i="3"/>
  <c r="AG135" i="3"/>
  <c r="AF135" i="3"/>
  <c r="AE135" i="3"/>
  <c r="AD135" i="3"/>
  <c r="AC135" i="3"/>
  <c r="AB135" i="3"/>
  <c r="Z135" i="3"/>
  <c r="J135" i="3"/>
  <c r="BJ134" i="3"/>
  <c r="AH134" i="3" s="1"/>
  <c r="BI134" i="3"/>
  <c r="BF134" i="3"/>
  <c r="BD134" i="3"/>
  <c r="AW134" i="3"/>
  <c r="AP134" i="3"/>
  <c r="AO134" i="3"/>
  <c r="BH134" i="3" s="1"/>
  <c r="AK134" i="3"/>
  <c r="AT133" i="3" s="1"/>
  <c r="AJ134" i="3"/>
  <c r="AS133" i="3" s="1"/>
  <c r="AG134" i="3"/>
  <c r="AF134" i="3"/>
  <c r="AE134" i="3"/>
  <c r="AD134" i="3"/>
  <c r="AC134" i="3"/>
  <c r="AB134" i="3"/>
  <c r="Z134" i="3"/>
  <c r="J134" i="3"/>
  <c r="AL134" i="3" s="1"/>
  <c r="H134" i="3"/>
  <c r="BJ132" i="3"/>
  <c r="BF132" i="3"/>
  <c r="BD132" i="3"/>
  <c r="AX132" i="3"/>
  <c r="AP132" i="3"/>
  <c r="I132" i="3" s="1"/>
  <c r="I131" i="3" s="1"/>
  <c r="AO132" i="3"/>
  <c r="AK132" i="3"/>
  <c r="AJ132" i="3"/>
  <c r="AS131" i="3" s="1"/>
  <c r="AH132" i="3"/>
  <c r="AG132" i="3"/>
  <c r="AF132" i="3"/>
  <c r="AE132" i="3"/>
  <c r="AD132" i="3"/>
  <c r="AC132" i="3"/>
  <c r="AB132" i="3"/>
  <c r="Z132" i="3"/>
  <c r="J132" i="3"/>
  <c r="AT131" i="3"/>
  <c r="BJ130" i="3"/>
  <c r="BF130" i="3"/>
  <c r="BD130" i="3"/>
  <c r="AX130" i="3"/>
  <c r="AW130" i="3"/>
  <c r="AP130" i="3"/>
  <c r="BI130" i="3" s="1"/>
  <c r="AO130" i="3"/>
  <c r="H130" i="3" s="1"/>
  <c r="AL130" i="3"/>
  <c r="AK130" i="3"/>
  <c r="AJ130" i="3"/>
  <c r="AH130" i="3"/>
  <c r="AG130" i="3"/>
  <c r="AF130" i="3"/>
  <c r="AE130" i="3"/>
  <c r="AD130" i="3"/>
  <c r="AC130" i="3"/>
  <c r="Z130" i="3"/>
  <c r="J130" i="3"/>
  <c r="I130" i="3"/>
  <c r="BJ129" i="3"/>
  <c r="BH129" i="3"/>
  <c r="AB129" i="3" s="1"/>
  <c r="BF129" i="3"/>
  <c r="BD129" i="3"/>
  <c r="AX129" i="3"/>
  <c r="AP129" i="3"/>
  <c r="I129" i="3" s="1"/>
  <c r="AO129" i="3"/>
  <c r="AK129" i="3"/>
  <c r="AJ129" i="3"/>
  <c r="AH129" i="3"/>
  <c r="AG129" i="3"/>
  <c r="AF129" i="3"/>
  <c r="AE129" i="3"/>
  <c r="AD129" i="3"/>
  <c r="Z129" i="3"/>
  <c r="J129" i="3"/>
  <c r="AL129" i="3" s="1"/>
  <c r="BJ128" i="3"/>
  <c r="BI128" i="3"/>
  <c r="AC128" i="3" s="1"/>
  <c r="BF128" i="3"/>
  <c r="BD128" i="3"/>
  <c r="AW128" i="3"/>
  <c r="AP128" i="3"/>
  <c r="AO128" i="3"/>
  <c r="BH128" i="3" s="1"/>
  <c r="AB128" i="3" s="1"/>
  <c r="AK128" i="3"/>
  <c r="AJ128" i="3"/>
  <c r="AS121" i="3" s="1"/>
  <c r="AH128" i="3"/>
  <c r="AG128" i="3"/>
  <c r="AF128" i="3"/>
  <c r="AE128" i="3"/>
  <c r="AD128" i="3"/>
  <c r="Z128" i="3"/>
  <c r="J128" i="3"/>
  <c r="AL128" i="3" s="1"/>
  <c r="H128" i="3"/>
  <c r="BJ127" i="3"/>
  <c r="BF127" i="3"/>
  <c r="BD127" i="3"/>
  <c r="AX127" i="3"/>
  <c r="AW127" i="3"/>
  <c r="BC127" i="3" s="1"/>
  <c r="AV127" i="3"/>
  <c r="AP127" i="3"/>
  <c r="BI127" i="3" s="1"/>
  <c r="AC127" i="3" s="1"/>
  <c r="AO127" i="3"/>
  <c r="BH127" i="3" s="1"/>
  <c r="AB127" i="3" s="1"/>
  <c r="AL127" i="3"/>
  <c r="AK127" i="3"/>
  <c r="AJ127" i="3"/>
  <c r="AH127" i="3"/>
  <c r="AG127" i="3"/>
  <c r="AF127" i="3"/>
  <c r="AE127" i="3"/>
  <c r="AD127" i="3"/>
  <c r="Z127" i="3"/>
  <c r="J127" i="3"/>
  <c r="I127" i="3"/>
  <c r="H127" i="3"/>
  <c r="BJ126" i="3"/>
  <c r="BF126" i="3"/>
  <c r="BD126" i="3"/>
  <c r="AX126" i="3"/>
  <c r="AW126" i="3"/>
  <c r="AP126" i="3"/>
  <c r="BI126" i="3" s="1"/>
  <c r="AC126" i="3" s="1"/>
  <c r="AO126" i="3"/>
  <c r="H126" i="3" s="1"/>
  <c r="AL126" i="3"/>
  <c r="AK126" i="3"/>
  <c r="AJ126" i="3"/>
  <c r="AH126" i="3"/>
  <c r="AG126" i="3"/>
  <c r="AF126" i="3"/>
  <c r="AE126" i="3"/>
  <c r="AD126" i="3"/>
  <c r="Z126" i="3"/>
  <c r="J126" i="3"/>
  <c r="I126" i="3"/>
  <c r="BJ125" i="3"/>
  <c r="BH125" i="3"/>
  <c r="AB125" i="3" s="1"/>
  <c r="BF125" i="3"/>
  <c r="BD125" i="3"/>
  <c r="AX125" i="3"/>
  <c r="AP125" i="3"/>
  <c r="I125" i="3" s="1"/>
  <c r="AO125" i="3"/>
  <c r="AK125" i="3"/>
  <c r="AJ125" i="3"/>
  <c r="AH125" i="3"/>
  <c r="AG125" i="3"/>
  <c r="AF125" i="3"/>
  <c r="AE125" i="3"/>
  <c r="AD125" i="3"/>
  <c r="Z125" i="3"/>
  <c r="J125" i="3"/>
  <c r="AL125" i="3" s="1"/>
  <c r="BJ124" i="3"/>
  <c r="BI124" i="3"/>
  <c r="AC124" i="3" s="1"/>
  <c r="BF124" i="3"/>
  <c r="BD124" i="3"/>
  <c r="AW124" i="3"/>
  <c r="AP124" i="3"/>
  <c r="AO124" i="3"/>
  <c r="BH124" i="3" s="1"/>
  <c r="AB124" i="3" s="1"/>
  <c r="AK124" i="3"/>
  <c r="AJ124" i="3"/>
  <c r="AH124" i="3"/>
  <c r="AG124" i="3"/>
  <c r="AF124" i="3"/>
  <c r="AE124" i="3"/>
  <c r="AD124" i="3"/>
  <c r="Z124" i="3"/>
  <c r="J124" i="3"/>
  <c r="AL124" i="3" s="1"/>
  <c r="H124" i="3"/>
  <c r="BJ123" i="3"/>
  <c r="BF123" i="3"/>
  <c r="BD123" i="3"/>
  <c r="AX123" i="3"/>
  <c r="AW123" i="3"/>
  <c r="BC123" i="3" s="1"/>
  <c r="AV123" i="3"/>
  <c r="AP123" i="3"/>
  <c r="BI123" i="3" s="1"/>
  <c r="AC123" i="3" s="1"/>
  <c r="AO123" i="3"/>
  <c r="BH123" i="3" s="1"/>
  <c r="AB123" i="3" s="1"/>
  <c r="AL123" i="3"/>
  <c r="AK123" i="3"/>
  <c r="AT121" i="3" s="1"/>
  <c r="AJ123" i="3"/>
  <c r="AH123" i="3"/>
  <c r="AG123" i="3"/>
  <c r="AF123" i="3"/>
  <c r="AE123" i="3"/>
  <c r="AD123" i="3"/>
  <c r="Z123" i="3"/>
  <c r="J123" i="3"/>
  <c r="I123" i="3"/>
  <c r="H123" i="3"/>
  <c r="BJ122" i="3"/>
  <c r="BF122" i="3"/>
  <c r="BD122" i="3"/>
  <c r="AX122" i="3"/>
  <c r="AW122" i="3"/>
  <c r="AP122" i="3"/>
  <c r="BI122" i="3" s="1"/>
  <c r="AO122" i="3"/>
  <c r="H122" i="3" s="1"/>
  <c r="AL122" i="3"/>
  <c r="AK122" i="3"/>
  <c r="AJ122" i="3"/>
  <c r="AH122" i="3"/>
  <c r="AG122" i="3"/>
  <c r="AF122" i="3"/>
  <c r="AE122" i="3"/>
  <c r="AD122" i="3"/>
  <c r="AC122" i="3"/>
  <c r="Z122" i="3"/>
  <c r="J122" i="3"/>
  <c r="I122" i="3"/>
  <c r="BJ119" i="3"/>
  <c r="AH119" i="3" s="1"/>
  <c r="BI119" i="3"/>
  <c r="BF119" i="3"/>
  <c r="BD119" i="3"/>
  <c r="AW119" i="3"/>
  <c r="AP119" i="3"/>
  <c r="AO119" i="3"/>
  <c r="BH119" i="3" s="1"/>
  <c r="AK119" i="3"/>
  <c r="AJ119" i="3"/>
  <c r="AG119" i="3"/>
  <c r="AF119" i="3"/>
  <c r="AE119" i="3"/>
  <c r="AD119" i="3"/>
  <c r="AC119" i="3"/>
  <c r="AB119" i="3"/>
  <c r="Z119" i="3"/>
  <c r="J119" i="3"/>
  <c r="AL119" i="3" s="1"/>
  <c r="H119" i="3"/>
  <c r="BJ118" i="3"/>
  <c r="AH118" i="3" s="1"/>
  <c r="BF118" i="3"/>
  <c r="BD118" i="3"/>
  <c r="AX118" i="3"/>
  <c r="AW118" i="3"/>
  <c r="BC118" i="3" s="1"/>
  <c r="AV118" i="3"/>
  <c r="AP118" i="3"/>
  <c r="BI118" i="3" s="1"/>
  <c r="AO118" i="3"/>
  <c r="BH118" i="3" s="1"/>
  <c r="AL118" i="3"/>
  <c r="AK118" i="3"/>
  <c r="AJ118" i="3"/>
  <c r="AG118" i="3"/>
  <c r="AF118" i="3"/>
  <c r="AE118" i="3"/>
  <c r="AD118" i="3"/>
  <c r="AC118" i="3"/>
  <c r="AB118" i="3"/>
  <c r="Z118" i="3"/>
  <c r="J118" i="3"/>
  <c r="I118" i="3"/>
  <c r="H118" i="3"/>
  <c r="BJ117" i="3"/>
  <c r="BF117" i="3"/>
  <c r="BD117" i="3"/>
  <c r="AX117" i="3"/>
  <c r="AW117" i="3"/>
  <c r="AP117" i="3"/>
  <c r="BI117" i="3" s="1"/>
  <c r="AO117" i="3"/>
  <c r="H117" i="3" s="1"/>
  <c r="AL117" i="3"/>
  <c r="AK117" i="3"/>
  <c r="AJ117" i="3"/>
  <c r="AH117" i="3"/>
  <c r="AG117" i="3"/>
  <c r="AF117" i="3"/>
  <c r="AE117" i="3"/>
  <c r="AD117" i="3"/>
  <c r="AC117" i="3"/>
  <c r="AB117" i="3"/>
  <c r="Z117" i="3"/>
  <c r="J117" i="3"/>
  <c r="I117" i="3"/>
  <c r="BJ116" i="3"/>
  <c r="BH116" i="3"/>
  <c r="BF116" i="3"/>
  <c r="BD116" i="3"/>
  <c r="AX116" i="3"/>
  <c r="AP116" i="3"/>
  <c r="I116" i="3" s="1"/>
  <c r="AO116" i="3"/>
  <c r="AK116" i="3"/>
  <c r="AJ116" i="3"/>
  <c r="AH116" i="3"/>
  <c r="AG116" i="3"/>
  <c r="AF116" i="3"/>
  <c r="AE116" i="3"/>
  <c r="AD116" i="3"/>
  <c r="AC116" i="3"/>
  <c r="AB116" i="3"/>
  <c r="Z116" i="3"/>
  <c r="J116" i="3"/>
  <c r="AL116" i="3" s="1"/>
  <c r="BJ115" i="3"/>
  <c r="AH115" i="3" s="1"/>
  <c r="BF115" i="3"/>
  <c r="BD115" i="3"/>
  <c r="AP115" i="3"/>
  <c r="AO115" i="3"/>
  <c r="BH115" i="3" s="1"/>
  <c r="AK115" i="3"/>
  <c r="AJ115" i="3"/>
  <c r="AS112" i="3" s="1"/>
  <c r="AG115" i="3"/>
  <c r="AF115" i="3"/>
  <c r="AE115" i="3"/>
  <c r="AD115" i="3"/>
  <c r="AC115" i="3"/>
  <c r="AB115" i="3"/>
  <c r="Z115" i="3"/>
  <c r="J115" i="3"/>
  <c r="AL115" i="3" s="1"/>
  <c r="H115" i="3"/>
  <c r="BJ114" i="3"/>
  <c r="AH114" i="3" s="1"/>
  <c r="BF114" i="3"/>
  <c r="BD114" i="3"/>
  <c r="AW114" i="3"/>
  <c r="AP114" i="3"/>
  <c r="BI114" i="3" s="1"/>
  <c r="AO114" i="3"/>
  <c r="BH114" i="3" s="1"/>
  <c r="AL114" i="3"/>
  <c r="AK114" i="3"/>
  <c r="AT112" i="3" s="1"/>
  <c r="AJ114" i="3"/>
  <c r="AG114" i="3"/>
  <c r="AF114" i="3"/>
  <c r="AE114" i="3"/>
  <c r="AD114" i="3"/>
  <c r="AC114" i="3"/>
  <c r="AB114" i="3"/>
  <c r="Z114" i="3"/>
  <c r="J114" i="3"/>
  <c r="I114" i="3"/>
  <c r="H114" i="3"/>
  <c r="BJ113" i="3"/>
  <c r="BF113" i="3"/>
  <c r="BD113" i="3"/>
  <c r="AX113" i="3"/>
  <c r="AW113" i="3"/>
  <c r="AP113" i="3"/>
  <c r="BI113" i="3" s="1"/>
  <c r="AO113" i="3"/>
  <c r="H113" i="3" s="1"/>
  <c r="AL113" i="3"/>
  <c r="AU112" i="3" s="1"/>
  <c r="AK113" i="3"/>
  <c r="AJ113" i="3"/>
  <c r="AH113" i="3"/>
  <c r="AG113" i="3"/>
  <c r="AF113" i="3"/>
  <c r="AE113" i="3"/>
  <c r="AD113" i="3"/>
  <c r="AC113" i="3"/>
  <c r="AB113" i="3"/>
  <c r="Z113" i="3"/>
  <c r="J113" i="3"/>
  <c r="I113" i="3"/>
  <c r="BJ111" i="3"/>
  <c r="Z111" i="3" s="1"/>
  <c r="BF111" i="3"/>
  <c r="BD111" i="3"/>
  <c r="AW111" i="3"/>
  <c r="AP111" i="3"/>
  <c r="BI111" i="3" s="1"/>
  <c r="AO111" i="3"/>
  <c r="BH111" i="3" s="1"/>
  <c r="AL111" i="3"/>
  <c r="AU110" i="3" s="1"/>
  <c r="AK111" i="3"/>
  <c r="AT110" i="3" s="1"/>
  <c r="AJ111" i="3"/>
  <c r="AH111" i="3"/>
  <c r="AG111" i="3"/>
  <c r="AF111" i="3"/>
  <c r="AE111" i="3"/>
  <c r="AD111" i="3"/>
  <c r="AC111" i="3"/>
  <c r="AB111" i="3"/>
  <c r="J111" i="3"/>
  <c r="I111" i="3"/>
  <c r="I110" i="3" s="1"/>
  <c r="H111" i="3"/>
  <c r="H110" i="3" s="1"/>
  <c r="AS110" i="3"/>
  <c r="J110" i="3"/>
  <c r="BJ109" i="3"/>
  <c r="BF109" i="3"/>
  <c r="BD109" i="3"/>
  <c r="AP109" i="3"/>
  <c r="AO109" i="3"/>
  <c r="BH109" i="3" s="1"/>
  <c r="AB109" i="3" s="1"/>
  <c r="AK109" i="3"/>
  <c r="AJ109" i="3"/>
  <c r="AH109" i="3"/>
  <c r="AG109" i="3"/>
  <c r="AF109" i="3"/>
  <c r="AE109" i="3"/>
  <c r="AD109" i="3"/>
  <c r="Z109" i="3"/>
  <c r="J109" i="3"/>
  <c r="AL109" i="3" s="1"/>
  <c r="H109" i="3"/>
  <c r="BJ108" i="3"/>
  <c r="BF108" i="3"/>
  <c r="BD108" i="3"/>
  <c r="AW108" i="3"/>
  <c r="AP108" i="3"/>
  <c r="BI108" i="3" s="1"/>
  <c r="AC108" i="3" s="1"/>
  <c r="AO108" i="3"/>
  <c r="BH108" i="3" s="1"/>
  <c r="AL108" i="3"/>
  <c r="AK108" i="3"/>
  <c r="AJ108" i="3"/>
  <c r="AH108" i="3"/>
  <c r="AG108" i="3"/>
  <c r="AF108" i="3"/>
  <c r="AE108" i="3"/>
  <c r="AD108" i="3"/>
  <c r="AB108" i="3"/>
  <c r="Z108" i="3"/>
  <c r="J108" i="3"/>
  <c r="I108" i="3"/>
  <c r="H108" i="3"/>
  <c r="BJ107" i="3"/>
  <c r="BF107" i="3"/>
  <c r="BD107" i="3"/>
  <c r="AX107" i="3"/>
  <c r="AW107" i="3"/>
  <c r="AP107" i="3"/>
  <c r="BI107" i="3" s="1"/>
  <c r="AO107" i="3"/>
  <c r="H107" i="3" s="1"/>
  <c r="AL107" i="3"/>
  <c r="AK107" i="3"/>
  <c r="AJ107" i="3"/>
  <c r="AH107" i="3"/>
  <c r="AG107" i="3"/>
  <c r="AF107" i="3"/>
  <c r="AE107" i="3"/>
  <c r="AD107" i="3"/>
  <c r="AC107" i="3"/>
  <c r="Z107" i="3"/>
  <c r="J107" i="3"/>
  <c r="I107" i="3"/>
  <c r="BJ106" i="3"/>
  <c r="BF106" i="3"/>
  <c r="BD106" i="3"/>
  <c r="AX106" i="3"/>
  <c r="AP106" i="3"/>
  <c r="I106" i="3" s="1"/>
  <c r="AO106" i="3"/>
  <c r="AK106" i="3"/>
  <c r="AJ106" i="3"/>
  <c r="AH106" i="3"/>
  <c r="AG106" i="3"/>
  <c r="AF106" i="3"/>
  <c r="AE106" i="3"/>
  <c r="AD106" i="3"/>
  <c r="Z106" i="3"/>
  <c r="J106" i="3"/>
  <c r="AL106" i="3" s="1"/>
  <c r="BJ105" i="3"/>
  <c r="BF105" i="3"/>
  <c r="BD105" i="3"/>
  <c r="AP105" i="3"/>
  <c r="AO105" i="3"/>
  <c r="BH105" i="3" s="1"/>
  <c r="AB105" i="3" s="1"/>
  <c r="AK105" i="3"/>
  <c r="AJ105" i="3"/>
  <c r="AH105" i="3"/>
  <c r="AG105" i="3"/>
  <c r="AF105" i="3"/>
  <c r="AE105" i="3"/>
  <c r="AD105" i="3"/>
  <c r="Z105" i="3"/>
  <c r="J105" i="3"/>
  <c r="AL105" i="3" s="1"/>
  <c r="H105" i="3"/>
  <c r="BJ104" i="3"/>
  <c r="BF104" i="3"/>
  <c r="BD104" i="3"/>
  <c r="AW104" i="3"/>
  <c r="AP104" i="3"/>
  <c r="BI104" i="3" s="1"/>
  <c r="AC104" i="3" s="1"/>
  <c r="AO104" i="3"/>
  <c r="BH104" i="3" s="1"/>
  <c r="AL104" i="3"/>
  <c r="AK104" i="3"/>
  <c r="AJ104" i="3"/>
  <c r="AH104" i="3"/>
  <c r="AG104" i="3"/>
  <c r="AF104" i="3"/>
  <c r="AE104" i="3"/>
  <c r="AD104" i="3"/>
  <c r="AB104" i="3"/>
  <c r="Z104" i="3"/>
  <c r="J104" i="3"/>
  <c r="I104" i="3"/>
  <c r="H104" i="3"/>
  <c r="BJ103" i="3"/>
  <c r="BF103" i="3"/>
  <c r="BD103" i="3"/>
  <c r="AX103" i="3"/>
  <c r="AW103" i="3"/>
  <c r="AP103" i="3"/>
  <c r="BI103" i="3" s="1"/>
  <c r="AO103" i="3"/>
  <c r="H103" i="3" s="1"/>
  <c r="AL103" i="3"/>
  <c r="AK103" i="3"/>
  <c r="AJ103" i="3"/>
  <c r="AH103" i="3"/>
  <c r="AG103" i="3"/>
  <c r="AF103" i="3"/>
  <c r="AE103" i="3"/>
  <c r="AD103" i="3"/>
  <c r="AC103" i="3"/>
  <c r="Z103" i="3"/>
  <c r="J103" i="3"/>
  <c r="I103" i="3"/>
  <c r="BJ102" i="3"/>
  <c r="BF102" i="3"/>
  <c r="BD102" i="3"/>
  <c r="AX102" i="3"/>
  <c r="AP102" i="3"/>
  <c r="I102" i="3" s="1"/>
  <c r="AO102" i="3"/>
  <c r="AK102" i="3"/>
  <c r="AJ102" i="3"/>
  <c r="AH102" i="3"/>
  <c r="AG102" i="3"/>
  <c r="AF102" i="3"/>
  <c r="AE102" i="3"/>
  <c r="AD102" i="3"/>
  <c r="Z102" i="3"/>
  <c r="J102" i="3"/>
  <c r="BJ101" i="3"/>
  <c r="BF101" i="3"/>
  <c r="BD101" i="3"/>
  <c r="AP101" i="3"/>
  <c r="AO101" i="3"/>
  <c r="BH101" i="3" s="1"/>
  <c r="AB101" i="3" s="1"/>
  <c r="AK101" i="3"/>
  <c r="AT100" i="3" s="1"/>
  <c r="AJ101" i="3"/>
  <c r="AS100" i="3" s="1"/>
  <c r="AH101" i="3"/>
  <c r="AG101" i="3"/>
  <c r="AF101" i="3"/>
  <c r="AE101" i="3"/>
  <c r="AD101" i="3"/>
  <c r="Z101" i="3"/>
  <c r="J101" i="3"/>
  <c r="AL101" i="3" s="1"/>
  <c r="H101" i="3"/>
  <c r="BJ98" i="3"/>
  <c r="BF98" i="3"/>
  <c r="BD98" i="3"/>
  <c r="AX98" i="3"/>
  <c r="AW98" i="3"/>
  <c r="AP98" i="3"/>
  <c r="BI98" i="3" s="1"/>
  <c r="AO98" i="3"/>
  <c r="H98" i="3" s="1"/>
  <c r="AL98" i="3"/>
  <c r="AK98" i="3"/>
  <c r="AJ98" i="3"/>
  <c r="AH98" i="3"/>
  <c r="AG98" i="3"/>
  <c r="AF98" i="3"/>
  <c r="AE98" i="3"/>
  <c r="AD98" i="3"/>
  <c r="AC98" i="3"/>
  <c r="AB98" i="3"/>
  <c r="Z98" i="3"/>
  <c r="J98" i="3"/>
  <c r="I98" i="3"/>
  <c r="BJ97" i="3"/>
  <c r="BF97" i="3"/>
  <c r="BD97" i="3"/>
  <c r="AX97" i="3"/>
  <c r="AP97" i="3"/>
  <c r="I97" i="3" s="1"/>
  <c r="AO97" i="3"/>
  <c r="AK97" i="3"/>
  <c r="AJ97" i="3"/>
  <c r="AH97" i="3"/>
  <c r="AG97" i="3"/>
  <c r="AF97" i="3"/>
  <c r="AE97" i="3"/>
  <c r="AD97" i="3"/>
  <c r="AC97" i="3"/>
  <c r="AB97" i="3"/>
  <c r="Z97" i="3"/>
  <c r="J97" i="3"/>
  <c r="AL97" i="3" s="1"/>
  <c r="BJ96" i="3"/>
  <c r="AH96" i="3" s="1"/>
  <c r="BF96" i="3"/>
  <c r="BD96" i="3"/>
  <c r="AP96" i="3"/>
  <c r="AO96" i="3"/>
  <c r="BH96" i="3" s="1"/>
  <c r="AK96" i="3"/>
  <c r="AJ96" i="3"/>
  <c r="AG96" i="3"/>
  <c r="AF96" i="3"/>
  <c r="AE96" i="3"/>
  <c r="AD96" i="3"/>
  <c r="AC96" i="3"/>
  <c r="AB96" i="3"/>
  <c r="Z96" i="3"/>
  <c r="J96" i="3"/>
  <c r="AL96" i="3" s="1"/>
  <c r="H96" i="3"/>
  <c r="BJ95" i="3"/>
  <c r="AH95" i="3" s="1"/>
  <c r="BF95" i="3"/>
  <c r="BD95" i="3"/>
  <c r="AW95" i="3"/>
  <c r="AP95" i="3"/>
  <c r="BI95" i="3" s="1"/>
  <c r="AO95" i="3"/>
  <c r="BH95" i="3" s="1"/>
  <c r="AL95" i="3"/>
  <c r="AK95" i="3"/>
  <c r="AJ95" i="3"/>
  <c r="AG95" i="3"/>
  <c r="AF95" i="3"/>
  <c r="AE95" i="3"/>
  <c r="AD95" i="3"/>
  <c r="AC95" i="3"/>
  <c r="AB95" i="3"/>
  <c r="Z95" i="3"/>
  <c r="J95" i="3"/>
  <c r="I95" i="3"/>
  <c r="H95" i="3"/>
  <c r="BJ94" i="3"/>
  <c r="BF94" i="3"/>
  <c r="BD94" i="3"/>
  <c r="AX94" i="3"/>
  <c r="AW94" i="3"/>
  <c r="AP94" i="3"/>
  <c r="BI94" i="3" s="1"/>
  <c r="AO94" i="3"/>
  <c r="H94" i="3" s="1"/>
  <c r="AL94" i="3"/>
  <c r="AK94" i="3"/>
  <c r="AJ94" i="3"/>
  <c r="AH94" i="3"/>
  <c r="AG94" i="3"/>
  <c r="AF94" i="3"/>
  <c r="AE94" i="3"/>
  <c r="AD94" i="3"/>
  <c r="AC94" i="3"/>
  <c r="AB94" i="3"/>
  <c r="Z94" i="3"/>
  <c r="J94" i="3"/>
  <c r="I94" i="3"/>
  <c r="BJ93" i="3"/>
  <c r="BF93" i="3"/>
  <c r="BD93" i="3"/>
  <c r="AX93" i="3"/>
  <c r="AP93" i="3"/>
  <c r="I93" i="3" s="1"/>
  <c r="AO93" i="3"/>
  <c r="AK93" i="3"/>
  <c r="AJ93" i="3"/>
  <c r="AH93" i="3"/>
  <c r="AG93" i="3"/>
  <c r="AF93" i="3"/>
  <c r="AE93" i="3"/>
  <c r="AD93" i="3"/>
  <c r="AC93" i="3"/>
  <c r="AB93" i="3"/>
  <c r="Z93" i="3"/>
  <c r="J93" i="3"/>
  <c r="AL93" i="3" s="1"/>
  <c r="BJ92" i="3"/>
  <c r="AH92" i="3" s="1"/>
  <c r="BF92" i="3"/>
  <c r="BD92" i="3"/>
  <c r="AP92" i="3"/>
  <c r="AO92" i="3"/>
  <c r="BH92" i="3" s="1"/>
  <c r="AK92" i="3"/>
  <c r="AJ92" i="3"/>
  <c r="AG92" i="3"/>
  <c r="AF92" i="3"/>
  <c r="AE92" i="3"/>
  <c r="AD92" i="3"/>
  <c r="AC92" i="3"/>
  <c r="AB92" i="3"/>
  <c r="Z92" i="3"/>
  <c r="J92" i="3"/>
  <c r="AL92" i="3" s="1"/>
  <c r="H92" i="3"/>
  <c r="BJ91" i="3"/>
  <c r="AH91" i="3" s="1"/>
  <c r="BF91" i="3"/>
  <c r="BD91" i="3"/>
  <c r="AW91" i="3"/>
  <c r="AP91" i="3"/>
  <c r="BI91" i="3" s="1"/>
  <c r="AO91" i="3"/>
  <c r="BH91" i="3" s="1"/>
  <c r="AL91" i="3"/>
  <c r="AK91" i="3"/>
  <c r="AT89" i="3" s="1"/>
  <c r="AJ91" i="3"/>
  <c r="AG91" i="3"/>
  <c r="AF91" i="3"/>
  <c r="AE91" i="3"/>
  <c r="AD91" i="3"/>
  <c r="AC91" i="3"/>
  <c r="AB91" i="3"/>
  <c r="Z91" i="3"/>
  <c r="J91" i="3"/>
  <c r="I91" i="3"/>
  <c r="H91" i="3"/>
  <c r="BJ90" i="3"/>
  <c r="BF90" i="3"/>
  <c r="BD90" i="3"/>
  <c r="AX90" i="3"/>
  <c r="AW90" i="3"/>
  <c r="AP90" i="3"/>
  <c r="BI90" i="3" s="1"/>
  <c r="AO90" i="3"/>
  <c r="H90" i="3" s="1"/>
  <c r="AL90" i="3"/>
  <c r="AK90" i="3"/>
  <c r="AJ90" i="3"/>
  <c r="AH90" i="3"/>
  <c r="AG90" i="3"/>
  <c r="AF90" i="3"/>
  <c r="AE90" i="3"/>
  <c r="AD90" i="3"/>
  <c r="AC90" i="3"/>
  <c r="AB90" i="3"/>
  <c r="Z90" i="3"/>
  <c r="J90" i="3"/>
  <c r="J89" i="3" s="1"/>
  <c r="I90" i="3"/>
  <c r="AS89" i="3"/>
  <c r="BJ88" i="3"/>
  <c r="Z88" i="3" s="1"/>
  <c r="BF88" i="3"/>
  <c r="BD88" i="3"/>
  <c r="AW88" i="3"/>
  <c r="AP88" i="3"/>
  <c r="BI88" i="3" s="1"/>
  <c r="AO88" i="3"/>
  <c r="BH88" i="3" s="1"/>
  <c r="AL88" i="3"/>
  <c r="AU87" i="3" s="1"/>
  <c r="AK88" i="3"/>
  <c r="AT87" i="3" s="1"/>
  <c r="AJ88" i="3"/>
  <c r="AH88" i="3"/>
  <c r="AG88" i="3"/>
  <c r="AF88" i="3"/>
  <c r="AE88" i="3"/>
  <c r="AD88" i="3"/>
  <c r="AC88" i="3"/>
  <c r="AB88" i="3"/>
  <c r="J88" i="3"/>
  <c r="I88" i="3"/>
  <c r="I87" i="3" s="1"/>
  <c r="H88" i="3"/>
  <c r="H87" i="3" s="1"/>
  <c r="AS87" i="3"/>
  <c r="J87" i="3"/>
  <c r="BJ86" i="3"/>
  <c r="BF86" i="3"/>
  <c r="BD86" i="3"/>
  <c r="AP86" i="3"/>
  <c r="AO86" i="3"/>
  <c r="BH86" i="3" s="1"/>
  <c r="AB86" i="3" s="1"/>
  <c r="AK86" i="3"/>
  <c r="AJ86" i="3"/>
  <c r="AH86" i="3"/>
  <c r="AG86" i="3"/>
  <c r="AF86" i="3"/>
  <c r="AE86" i="3"/>
  <c r="AD86" i="3"/>
  <c r="Z86" i="3"/>
  <c r="J86" i="3"/>
  <c r="AL86" i="3" s="1"/>
  <c r="H86" i="3"/>
  <c r="BJ85" i="3"/>
  <c r="BF85" i="3"/>
  <c r="BD85" i="3"/>
  <c r="AW85" i="3"/>
  <c r="AP85" i="3"/>
  <c r="BI85" i="3" s="1"/>
  <c r="AC85" i="3" s="1"/>
  <c r="AO85" i="3"/>
  <c r="BH85" i="3" s="1"/>
  <c r="AB85" i="3" s="1"/>
  <c r="AL85" i="3"/>
  <c r="AK85" i="3"/>
  <c r="AJ85" i="3"/>
  <c r="AH85" i="3"/>
  <c r="AG85" i="3"/>
  <c r="AF85" i="3"/>
  <c r="AE85" i="3"/>
  <c r="AD85" i="3"/>
  <c r="Z85" i="3"/>
  <c r="J85" i="3"/>
  <c r="I85" i="3"/>
  <c r="H85" i="3"/>
  <c r="BJ84" i="3"/>
  <c r="BF84" i="3"/>
  <c r="BD84" i="3"/>
  <c r="AX84" i="3"/>
  <c r="AW84" i="3"/>
  <c r="AP84" i="3"/>
  <c r="BI84" i="3" s="1"/>
  <c r="AO84" i="3"/>
  <c r="H84" i="3" s="1"/>
  <c r="AL84" i="3"/>
  <c r="AK84" i="3"/>
  <c r="AJ84" i="3"/>
  <c r="AH84" i="3"/>
  <c r="AG84" i="3"/>
  <c r="AF84" i="3"/>
  <c r="AE84" i="3"/>
  <c r="AD84" i="3"/>
  <c r="AC84" i="3"/>
  <c r="Z84" i="3"/>
  <c r="J84" i="3"/>
  <c r="I84" i="3"/>
  <c r="BJ83" i="3"/>
  <c r="BH83" i="3"/>
  <c r="AB83" i="3" s="1"/>
  <c r="BF83" i="3"/>
  <c r="BD83" i="3"/>
  <c r="AX83" i="3"/>
  <c r="AP83" i="3"/>
  <c r="I83" i="3" s="1"/>
  <c r="AO83" i="3"/>
  <c r="AK83" i="3"/>
  <c r="AJ83" i="3"/>
  <c r="AH83" i="3"/>
  <c r="AG83" i="3"/>
  <c r="AF83" i="3"/>
  <c r="AE83" i="3"/>
  <c r="AD83" i="3"/>
  <c r="Z83" i="3"/>
  <c r="J83" i="3"/>
  <c r="AL83" i="3" s="1"/>
  <c r="BJ82" i="3"/>
  <c r="BF82" i="3"/>
  <c r="BD82" i="3"/>
  <c r="AP82" i="3"/>
  <c r="AO82" i="3"/>
  <c r="BH82" i="3" s="1"/>
  <c r="AB82" i="3" s="1"/>
  <c r="AK82" i="3"/>
  <c r="AJ82" i="3"/>
  <c r="AH82" i="3"/>
  <c r="AG82" i="3"/>
  <c r="AF82" i="3"/>
  <c r="AE82" i="3"/>
  <c r="AD82" i="3"/>
  <c r="Z82" i="3"/>
  <c r="J82" i="3"/>
  <c r="AL82" i="3" s="1"/>
  <c r="H82" i="3"/>
  <c r="BJ81" i="3"/>
  <c r="BF81" i="3"/>
  <c r="BD81" i="3"/>
  <c r="AW81" i="3"/>
  <c r="AP81" i="3"/>
  <c r="BI81" i="3" s="1"/>
  <c r="AC81" i="3" s="1"/>
  <c r="AO81" i="3"/>
  <c r="BH81" i="3" s="1"/>
  <c r="AB81" i="3" s="1"/>
  <c r="AL81" i="3"/>
  <c r="AK81" i="3"/>
  <c r="AJ81" i="3"/>
  <c r="AH81" i="3"/>
  <c r="AG81" i="3"/>
  <c r="AF81" i="3"/>
  <c r="AE81" i="3"/>
  <c r="AD81" i="3"/>
  <c r="Z81" i="3"/>
  <c r="J81" i="3"/>
  <c r="I81" i="3"/>
  <c r="H81" i="3"/>
  <c r="BJ80" i="3"/>
  <c r="BF80" i="3"/>
  <c r="BD80" i="3"/>
  <c r="AX80" i="3"/>
  <c r="AW80" i="3"/>
  <c r="AP80" i="3"/>
  <c r="BI80" i="3" s="1"/>
  <c r="AO80" i="3"/>
  <c r="H80" i="3" s="1"/>
  <c r="AL80" i="3"/>
  <c r="AK80" i="3"/>
  <c r="AJ80" i="3"/>
  <c r="AH80" i="3"/>
  <c r="AG80" i="3"/>
  <c r="AF80" i="3"/>
  <c r="AE80" i="3"/>
  <c r="AD80" i="3"/>
  <c r="AC80" i="3"/>
  <c r="Z80" i="3"/>
  <c r="J80" i="3"/>
  <c r="I80" i="3"/>
  <c r="BJ79" i="3"/>
  <c r="BH79" i="3"/>
  <c r="AB79" i="3" s="1"/>
  <c r="BF79" i="3"/>
  <c r="BD79" i="3"/>
  <c r="AX79" i="3"/>
  <c r="AP79" i="3"/>
  <c r="I79" i="3" s="1"/>
  <c r="AO79" i="3"/>
  <c r="AK79" i="3"/>
  <c r="AJ79" i="3"/>
  <c r="AH79" i="3"/>
  <c r="AG79" i="3"/>
  <c r="AF79" i="3"/>
  <c r="AE79" i="3"/>
  <c r="AD79" i="3"/>
  <c r="Z79" i="3"/>
  <c r="J79" i="3"/>
  <c r="BJ78" i="3"/>
  <c r="BF78" i="3"/>
  <c r="BD78" i="3"/>
  <c r="AP78" i="3"/>
  <c r="AO78" i="3"/>
  <c r="BH78" i="3" s="1"/>
  <c r="AB78" i="3" s="1"/>
  <c r="AK78" i="3"/>
  <c r="AJ78" i="3"/>
  <c r="AS77" i="3" s="1"/>
  <c r="AH78" i="3"/>
  <c r="AG78" i="3"/>
  <c r="AF78" i="3"/>
  <c r="AE78" i="3"/>
  <c r="AD78" i="3"/>
  <c r="Z78" i="3"/>
  <c r="J78" i="3"/>
  <c r="AL78" i="3" s="1"/>
  <c r="H78" i="3"/>
  <c r="BJ76" i="3"/>
  <c r="BF76" i="3"/>
  <c r="BD76" i="3"/>
  <c r="AX76" i="3"/>
  <c r="AP76" i="3"/>
  <c r="I76" i="3" s="1"/>
  <c r="I75" i="3" s="1"/>
  <c r="AO76" i="3"/>
  <c r="BH76" i="3" s="1"/>
  <c r="AB76" i="3" s="1"/>
  <c r="AK76" i="3"/>
  <c r="AJ76" i="3"/>
  <c r="AS75" i="3" s="1"/>
  <c r="AH76" i="3"/>
  <c r="AG76" i="3"/>
  <c r="AF76" i="3"/>
  <c r="AE76" i="3"/>
  <c r="AD76" i="3"/>
  <c r="Z76" i="3"/>
  <c r="J76" i="3"/>
  <c r="AT75" i="3"/>
  <c r="BJ72" i="3"/>
  <c r="AH72" i="3" s="1"/>
  <c r="BF72" i="3"/>
  <c r="BD72" i="3"/>
  <c r="AW72" i="3"/>
  <c r="AP72" i="3"/>
  <c r="BI72" i="3" s="1"/>
  <c r="AO72" i="3"/>
  <c r="BH72" i="3" s="1"/>
  <c r="AL72" i="3"/>
  <c r="AK72" i="3"/>
  <c r="AJ72" i="3"/>
  <c r="AG72" i="3"/>
  <c r="AF72" i="3"/>
  <c r="AE72" i="3"/>
  <c r="AD72" i="3"/>
  <c r="AC72" i="3"/>
  <c r="AB72" i="3"/>
  <c r="Z72" i="3"/>
  <c r="J72" i="3"/>
  <c r="I72" i="3"/>
  <c r="H72" i="3"/>
  <c r="BJ71" i="3"/>
  <c r="BF71" i="3"/>
  <c r="BD71" i="3"/>
  <c r="AX71" i="3"/>
  <c r="AW71" i="3"/>
  <c r="AP71" i="3"/>
  <c r="BI71" i="3" s="1"/>
  <c r="AO71" i="3"/>
  <c r="H71" i="3" s="1"/>
  <c r="AL71" i="3"/>
  <c r="AK71" i="3"/>
  <c r="AJ71" i="3"/>
  <c r="AH71" i="3"/>
  <c r="AG71" i="3"/>
  <c r="AF71" i="3"/>
  <c r="AE71" i="3"/>
  <c r="AD71" i="3"/>
  <c r="AC71" i="3"/>
  <c r="AB71" i="3"/>
  <c r="Z71" i="3"/>
  <c r="J71" i="3"/>
  <c r="I71" i="3"/>
  <c r="BJ70" i="3"/>
  <c r="BF70" i="3"/>
  <c r="BD70" i="3"/>
  <c r="AX70" i="3"/>
  <c r="AP70" i="3"/>
  <c r="I70" i="3" s="1"/>
  <c r="AO70" i="3"/>
  <c r="AK70" i="3"/>
  <c r="AJ70" i="3"/>
  <c r="AH70" i="3"/>
  <c r="AG70" i="3"/>
  <c r="AF70" i="3"/>
  <c r="AE70" i="3"/>
  <c r="AD70" i="3"/>
  <c r="AC70" i="3"/>
  <c r="AB70" i="3"/>
  <c r="Z70" i="3"/>
  <c r="J70" i="3"/>
  <c r="AL70" i="3" s="1"/>
  <c r="BJ69" i="3"/>
  <c r="AH69" i="3" s="1"/>
  <c r="BF69" i="3"/>
  <c r="BD69" i="3"/>
  <c r="AP69" i="3"/>
  <c r="AO69" i="3"/>
  <c r="BH69" i="3" s="1"/>
  <c r="AK69" i="3"/>
  <c r="AJ69" i="3"/>
  <c r="AG69" i="3"/>
  <c r="AF69" i="3"/>
  <c r="AE69" i="3"/>
  <c r="AD69" i="3"/>
  <c r="AC69" i="3"/>
  <c r="AB69" i="3"/>
  <c r="Z69" i="3"/>
  <c r="J69" i="3"/>
  <c r="AL69" i="3" s="1"/>
  <c r="H69" i="3"/>
  <c r="BJ68" i="3"/>
  <c r="AH68" i="3" s="1"/>
  <c r="BF68" i="3"/>
  <c r="BD68" i="3"/>
  <c r="AW68" i="3"/>
  <c r="AP68" i="3"/>
  <c r="BI68" i="3" s="1"/>
  <c r="AO68" i="3"/>
  <c r="BH68" i="3" s="1"/>
  <c r="AK68" i="3"/>
  <c r="AJ68" i="3"/>
  <c r="AG68" i="3"/>
  <c r="AF68" i="3"/>
  <c r="AE68" i="3"/>
  <c r="AD68" i="3"/>
  <c r="AC68" i="3"/>
  <c r="AB68" i="3"/>
  <c r="Z68" i="3"/>
  <c r="J68" i="3"/>
  <c r="AL68" i="3" s="1"/>
  <c r="I68" i="3"/>
  <c r="H68" i="3"/>
  <c r="BJ67" i="3"/>
  <c r="BF67" i="3"/>
  <c r="BD67" i="3"/>
  <c r="AX67" i="3"/>
  <c r="AW67" i="3"/>
  <c r="AP67" i="3"/>
  <c r="BI67" i="3" s="1"/>
  <c r="AO67" i="3"/>
  <c r="BH67" i="3" s="1"/>
  <c r="AL67" i="3"/>
  <c r="AK67" i="3"/>
  <c r="AJ67" i="3"/>
  <c r="AH67" i="3"/>
  <c r="AG67" i="3"/>
  <c r="AF67" i="3"/>
  <c r="AE67" i="3"/>
  <c r="AD67" i="3"/>
  <c r="AC67" i="3"/>
  <c r="AB67" i="3"/>
  <c r="Z67" i="3"/>
  <c r="J67" i="3"/>
  <c r="I67" i="3"/>
  <c r="H67" i="3"/>
  <c r="BJ66" i="3"/>
  <c r="BF66" i="3"/>
  <c r="BD66" i="3"/>
  <c r="AX66" i="3"/>
  <c r="AP66" i="3"/>
  <c r="BI66" i="3" s="1"/>
  <c r="AO66" i="3"/>
  <c r="AK66" i="3"/>
  <c r="AJ66" i="3"/>
  <c r="AH66" i="3"/>
  <c r="AG66" i="3"/>
  <c r="AF66" i="3"/>
  <c r="AE66" i="3"/>
  <c r="AD66" i="3"/>
  <c r="AC66" i="3"/>
  <c r="AB66" i="3"/>
  <c r="Z66" i="3"/>
  <c r="J66" i="3"/>
  <c r="I66" i="3"/>
  <c r="BJ65" i="3"/>
  <c r="BF65" i="3"/>
  <c r="BD65" i="3"/>
  <c r="AP65" i="3"/>
  <c r="BI65" i="3" s="1"/>
  <c r="AO65" i="3"/>
  <c r="BH65" i="3" s="1"/>
  <c r="AK65" i="3"/>
  <c r="AJ65" i="3"/>
  <c r="AS64" i="3" s="1"/>
  <c r="AH65" i="3"/>
  <c r="AG65" i="3"/>
  <c r="AF65" i="3"/>
  <c r="AE65" i="3"/>
  <c r="AD65" i="3"/>
  <c r="AC65" i="3"/>
  <c r="AB65" i="3"/>
  <c r="Z65" i="3"/>
  <c r="J65" i="3"/>
  <c r="AL65" i="3" s="1"/>
  <c r="H65" i="3"/>
  <c r="BJ63" i="3"/>
  <c r="BF63" i="3"/>
  <c r="BD63" i="3"/>
  <c r="AX63" i="3"/>
  <c r="AP63" i="3"/>
  <c r="BI63" i="3" s="1"/>
  <c r="AO63" i="3"/>
  <c r="AK63" i="3"/>
  <c r="AJ63" i="3"/>
  <c r="AH63" i="3"/>
  <c r="AG63" i="3"/>
  <c r="AF63" i="3"/>
  <c r="AE63" i="3"/>
  <c r="AD63" i="3"/>
  <c r="AC63" i="3"/>
  <c r="AB63" i="3"/>
  <c r="Z63" i="3"/>
  <c r="J63" i="3"/>
  <c r="I63" i="3"/>
  <c r="AT62" i="3"/>
  <c r="AS62" i="3"/>
  <c r="I62" i="3"/>
  <c r="BJ61" i="3"/>
  <c r="BF61" i="3"/>
  <c r="BD61" i="3"/>
  <c r="AX61" i="3"/>
  <c r="AW61" i="3"/>
  <c r="AP61" i="3"/>
  <c r="BI61" i="3" s="1"/>
  <c r="AC61" i="3" s="1"/>
  <c r="AO61" i="3"/>
  <c r="BH61" i="3" s="1"/>
  <c r="AB61" i="3" s="1"/>
  <c r="AL61" i="3"/>
  <c r="AK61" i="3"/>
  <c r="AJ61" i="3"/>
  <c r="AH61" i="3"/>
  <c r="AG61" i="3"/>
  <c r="AF61" i="3"/>
  <c r="AE61" i="3"/>
  <c r="AD61" i="3"/>
  <c r="Z61" i="3"/>
  <c r="J61" i="3"/>
  <c r="I61" i="3"/>
  <c r="H61" i="3"/>
  <c r="BJ60" i="3"/>
  <c r="BH60" i="3"/>
  <c r="AB60" i="3" s="1"/>
  <c r="BF60" i="3"/>
  <c r="BD60" i="3"/>
  <c r="AX60" i="3"/>
  <c r="AP60" i="3"/>
  <c r="BI60" i="3" s="1"/>
  <c r="AC60" i="3" s="1"/>
  <c r="AO60" i="3"/>
  <c r="AK60" i="3"/>
  <c r="AJ60" i="3"/>
  <c r="AH60" i="3"/>
  <c r="AG60" i="3"/>
  <c r="AF60" i="3"/>
  <c r="AE60" i="3"/>
  <c r="AD60" i="3"/>
  <c r="Z60" i="3"/>
  <c r="J60" i="3"/>
  <c r="AL60" i="3" s="1"/>
  <c r="I60" i="3"/>
  <c r="BJ59" i="3"/>
  <c r="BF59" i="3"/>
  <c r="BD59" i="3"/>
  <c r="AP59" i="3"/>
  <c r="AO59" i="3"/>
  <c r="BH59" i="3" s="1"/>
  <c r="AB59" i="3" s="1"/>
  <c r="AK59" i="3"/>
  <c r="AJ59" i="3"/>
  <c r="AH59" i="3"/>
  <c r="AG59" i="3"/>
  <c r="AF59" i="3"/>
  <c r="AE59" i="3"/>
  <c r="AD59" i="3"/>
  <c r="Z59" i="3"/>
  <c r="J59" i="3"/>
  <c r="AL59" i="3" s="1"/>
  <c r="H59" i="3"/>
  <c r="BJ58" i="3"/>
  <c r="BF58" i="3"/>
  <c r="BD58" i="3"/>
  <c r="AW58" i="3"/>
  <c r="AP58" i="3"/>
  <c r="BI58" i="3" s="1"/>
  <c r="AC58" i="3" s="1"/>
  <c r="AO58" i="3"/>
  <c r="BH58" i="3" s="1"/>
  <c r="AK58" i="3"/>
  <c r="AJ58" i="3"/>
  <c r="AH58" i="3"/>
  <c r="AG58" i="3"/>
  <c r="AF58" i="3"/>
  <c r="AE58" i="3"/>
  <c r="AD58" i="3"/>
  <c r="AB58" i="3"/>
  <c r="Z58" i="3"/>
  <c r="J58" i="3"/>
  <c r="AL58" i="3" s="1"/>
  <c r="I58" i="3"/>
  <c r="H58" i="3"/>
  <c r="BJ57" i="3"/>
  <c r="BF57" i="3"/>
  <c r="BD57" i="3"/>
  <c r="AX57" i="3"/>
  <c r="AW57" i="3"/>
  <c r="AP57" i="3"/>
  <c r="BI57" i="3" s="1"/>
  <c r="AO57" i="3"/>
  <c r="BH57" i="3" s="1"/>
  <c r="AB57" i="3" s="1"/>
  <c r="AL57" i="3"/>
  <c r="AK57" i="3"/>
  <c r="AJ57" i="3"/>
  <c r="AH57" i="3"/>
  <c r="AG57" i="3"/>
  <c r="AF57" i="3"/>
  <c r="AE57" i="3"/>
  <c r="AD57" i="3"/>
  <c r="AC57" i="3"/>
  <c r="Z57" i="3"/>
  <c r="J57" i="3"/>
  <c r="I57" i="3"/>
  <c r="H57" i="3"/>
  <c r="BJ56" i="3"/>
  <c r="BF56" i="3"/>
  <c r="BD56" i="3"/>
  <c r="AX56" i="3"/>
  <c r="AP56" i="3"/>
  <c r="I56" i="3" s="1"/>
  <c r="AO56" i="3"/>
  <c r="AK56" i="3"/>
  <c r="AJ56" i="3"/>
  <c r="AH56" i="3"/>
  <c r="AG56" i="3"/>
  <c r="AF56" i="3"/>
  <c r="AE56" i="3"/>
  <c r="AD56" i="3"/>
  <c r="Z56" i="3"/>
  <c r="J56" i="3"/>
  <c r="AL56" i="3" s="1"/>
  <c r="BJ55" i="3"/>
  <c r="BF55" i="3"/>
  <c r="BD55" i="3"/>
  <c r="AP55" i="3"/>
  <c r="AO55" i="3"/>
  <c r="BH55" i="3" s="1"/>
  <c r="AB55" i="3" s="1"/>
  <c r="AK55" i="3"/>
  <c r="AJ55" i="3"/>
  <c r="AS53" i="3" s="1"/>
  <c r="AH55" i="3"/>
  <c r="AG55" i="3"/>
  <c r="AF55" i="3"/>
  <c r="AE55" i="3"/>
  <c r="AD55" i="3"/>
  <c r="Z55" i="3"/>
  <c r="J55" i="3"/>
  <c r="AL55" i="3" s="1"/>
  <c r="H55" i="3"/>
  <c r="BJ54" i="3"/>
  <c r="BF54" i="3"/>
  <c r="BD54" i="3"/>
  <c r="AW54" i="3"/>
  <c r="AP54" i="3"/>
  <c r="BI54" i="3" s="1"/>
  <c r="AC54" i="3" s="1"/>
  <c r="AO54" i="3"/>
  <c r="BH54" i="3" s="1"/>
  <c r="AL54" i="3"/>
  <c r="AU53" i="3" s="1"/>
  <c r="AK54" i="3"/>
  <c r="AJ54" i="3"/>
  <c r="AH54" i="3"/>
  <c r="AG54" i="3"/>
  <c r="AF54" i="3"/>
  <c r="AE54" i="3"/>
  <c r="AD54" i="3"/>
  <c r="AB54" i="3"/>
  <c r="Z54" i="3"/>
  <c r="J54" i="3"/>
  <c r="I54" i="3"/>
  <c r="H54" i="3"/>
  <c r="BJ52" i="3"/>
  <c r="BF52" i="3"/>
  <c r="BD52" i="3"/>
  <c r="AP52" i="3"/>
  <c r="AO52" i="3"/>
  <c r="BH52" i="3" s="1"/>
  <c r="AK52" i="3"/>
  <c r="AT51" i="3" s="1"/>
  <c r="AJ52" i="3"/>
  <c r="AS51" i="3" s="1"/>
  <c r="AH52" i="3"/>
  <c r="AG52" i="3"/>
  <c r="AF52" i="3"/>
  <c r="AE52" i="3"/>
  <c r="AD52" i="3"/>
  <c r="AB52" i="3"/>
  <c r="Z52" i="3"/>
  <c r="J52" i="3"/>
  <c r="AL52" i="3" s="1"/>
  <c r="H52" i="3"/>
  <c r="H51" i="3" s="1"/>
  <c r="AU51" i="3"/>
  <c r="J51" i="3"/>
  <c r="BJ49" i="3"/>
  <c r="BF49" i="3"/>
  <c r="BD49" i="3"/>
  <c r="AX49" i="3"/>
  <c r="AP49" i="3"/>
  <c r="BI49" i="3" s="1"/>
  <c r="AO49" i="3"/>
  <c r="BH49" i="3" s="1"/>
  <c r="AK49" i="3"/>
  <c r="AJ49" i="3"/>
  <c r="AH49" i="3"/>
  <c r="AG49" i="3"/>
  <c r="AF49" i="3"/>
  <c r="AE49" i="3"/>
  <c r="AD49" i="3"/>
  <c r="AC49" i="3"/>
  <c r="AB49" i="3"/>
  <c r="Z49" i="3"/>
  <c r="J49" i="3"/>
  <c r="AL49" i="3" s="1"/>
  <c r="I49" i="3"/>
  <c r="H49" i="3"/>
  <c r="BJ48" i="3"/>
  <c r="BF48" i="3"/>
  <c r="BD48" i="3"/>
  <c r="AW48" i="3"/>
  <c r="AP48" i="3"/>
  <c r="BI48" i="3" s="1"/>
  <c r="AC48" i="3" s="1"/>
  <c r="AO48" i="3"/>
  <c r="H48" i="3" s="1"/>
  <c r="AL48" i="3"/>
  <c r="AK48" i="3"/>
  <c r="AJ48" i="3"/>
  <c r="AH48" i="3"/>
  <c r="AG48" i="3"/>
  <c r="AF48" i="3"/>
  <c r="AE48" i="3"/>
  <c r="AD48" i="3"/>
  <c r="Z48" i="3"/>
  <c r="J48" i="3"/>
  <c r="I48" i="3"/>
  <c r="BJ47" i="3"/>
  <c r="BF47" i="3"/>
  <c r="BD47" i="3"/>
  <c r="AX47" i="3"/>
  <c r="AP47" i="3"/>
  <c r="I47" i="3" s="1"/>
  <c r="AO47" i="3"/>
  <c r="AW47" i="3" s="1"/>
  <c r="AK47" i="3"/>
  <c r="AJ47" i="3"/>
  <c r="AH47" i="3"/>
  <c r="AG47" i="3"/>
  <c r="AF47" i="3"/>
  <c r="AE47" i="3"/>
  <c r="AD47" i="3"/>
  <c r="Z47" i="3"/>
  <c r="J47" i="3"/>
  <c r="AL47" i="3" s="1"/>
  <c r="BJ46" i="3"/>
  <c r="BF46" i="3"/>
  <c r="BD46" i="3"/>
  <c r="AW46" i="3"/>
  <c r="AV46" i="3" s="1"/>
  <c r="AP46" i="3"/>
  <c r="AX46" i="3" s="1"/>
  <c r="BC46" i="3" s="1"/>
  <c r="AO46" i="3"/>
  <c r="BH46" i="3" s="1"/>
  <c r="AB46" i="3" s="1"/>
  <c r="AL46" i="3"/>
  <c r="AK46" i="3"/>
  <c r="AJ46" i="3"/>
  <c r="AH46" i="3"/>
  <c r="AG46" i="3"/>
  <c r="AF46" i="3"/>
  <c r="AE46" i="3"/>
  <c r="AD46" i="3"/>
  <c r="Z46" i="3"/>
  <c r="J46" i="3"/>
  <c r="H46" i="3"/>
  <c r="BJ45" i="3"/>
  <c r="BF45" i="3"/>
  <c r="BD45" i="3"/>
  <c r="AX45" i="3"/>
  <c r="AP45" i="3"/>
  <c r="BI45" i="3" s="1"/>
  <c r="AC45" i="3" s="1"/>
  <c r="AO45" i="3"/>
  <c r="BH45" i="3" s="1"/>
  <c r="AB45" i="3" s="1"/>
  <c r="AK45" i="3"/>
  <c r="AT43" i="3" s="1"/>
  <c r="AJ45" i="3"/>
  <c r="AH45" i="3"/>
  <c r="AG45" i="3"/>
  <c r="AF45" i="3"/>
  <c r="AE45" i="3"/>
  <c r="AD45" i="3"/>
  <c r="Z45" i="3"/>
  <c r="J45" i="3"/>
  <c r="AL45" i="3" s="1"/>
  <c r="I45" i="3"/>
  <c r="H45" i="3"/>
  <c r="BJ44" i="3"/>
  <c r="BF44" i="3"/>
  <c r="BD44" i="3"/>
  <c r="AW44" i="3"/>
  <c r="AP44" i="3"/>
  <c r="BI44" i="3" s="1"/>
  <c r="AC44" i="3" s="1"/>
  <c r="AO44" i="3"/>
  <c r="H44" i="3" s="1"/>
  <c r="AL44" i="3"/>
  <c r="AK44" i="3"/>
  <c r="AJ44" i="3"/>
  <c r="AH44" i="3"/>
  <c r="AG44" i="3"/>
  <c r="AF44" i="3"/>
  <c r="AE44" i="3"/>
  <c r="AD44" i="3"/>
  <c r="Z44" i="3"/>
  <c r="J44" i="3"/>
  <c r="J43" i="3" s="1"/>
  <c r="J42" i="3" s="1"/>
  <c r="I44" i="3"/>
  <c r="AS43" i="3"/>
  <c r="BJ41" i="3"/>
  <c r="AH41" i="3" s="1"/>
  <c r="C20" i="1" s="1"/>
  <c r="BF41" i="3"/>
  <c r="BD41" i="3"/>
  <c r="AW41" i="3"/>
  <c r="AV41" i="3" s="1"/>
  <c r="AP41" i="3"/>
  <c r="AX41" i="3" s="1"/>
  <c r="BC41" i="3" s="1"/>
  <c r="AO41" i="3"/>
  <c r="BH41" i="3" s="1"/>
  <c r="AL41" i="3"/>
  <c r="AK41" i="3"/>
  <c r="AT40" i="3" s="1"/>
  <c r="AJ41" i="3"/>
  <c r="AS40" i="3" s="1"/>
  <c r="AG41" i="3"/>
  <c r="AF41" i="3"/>
  <c r="AE41" i="3"/>
  <c r="AD41" i="3"/>
  <c r="AC41" i="3"/>
  <c r="AB41" i="3"/>
  <c r="Z41" i="3"/>
  <c r="J41" i="3"/>
  <c r="H41" i="3"/>
  <c r="H40" i="3" s="1"/>
  <c r="AU40" i="3"/>
  <c r="J40" i="3"/>
  <c r="BJ39" i="3"/>
  <c r="Z39" i="3" s="1"/>
  <c r="BF39" i="3"/>
  <c r="BD39" i="3"/>
  <c r="AX39" i="3"/>
  <c r="AP39" i="3"/>
  <c r="I39" i="3" s="1"/>
  <c r="AO39" i="3"/>
  <c r="AW39" i="3" s="1"/>
  <c r="AK39" i="3"/>
  <c r="AJ39" i="3"/>
  <c r="AH39" i="3"/>
  <c r="AG39" i="3"/>
  <c r="AF39" i="3"/>
  <c r="AE39" i="3"/>
  <c r="AD39" i="3"/>
  <c r="AC39" i="3"/>
  <c r="AB39" i="3"/>
  <c r="J39" i="3"/>
  <c r="AL39" i="3" s="1"/>
  <c r="BJ38" i="3"/>
  <c r="BF38" i="3"/>
  <c r="BD38" i="3"/>
  <c r="AW38" i="3"/>
  <c r="AV38" i="3" s="1"/>
  <c r="AP38" i="3"/>
  <c r="AX38" i="3" s="1"/>
  <c r="BC38" i="3" s="1"/>
  <c r="AO38" i="3"/>
  <c r="BH38" i="3" s="1"/>
  <c r="AL38" i="3"/>
  <c r="AK38" i="3"/>
  <c r="AJ38" i="3"/>
  <c r="AH38" i="3"/>
  <c r="AG38" i="3"/>
  <c r="AF38" i="3"/>
  <c r="AE38" i="3"/>
  <c r="AD38" i="3"/>
  <c r="AC38" i="3"/>
  <c r="AB38" i="3"/>
  <c r="Z38" i="3"/>
  <c r="J38" i="3"/>
  <c r="H38" i="3"/>
  <c r="BJ37" i="3"/>
  <c r="Z37" i="3" s="1"/>
  <c r="BF37" i="3"/>
  <c r="BD37" i="3"/>
  <c r="AX37" i="3"/>
  <c r="AP37" i="3"/>
  <c r="BI37" i="3" s="1"/>
  <c r="AO37" i="3"/>
  <c r="BH37" i="3" s="1"/>
  <c r="AK37" i="3"/>
  <c r="AJ37" i="3"/>
  <c r="AH37" i="3"/>
  <c r="AG37" i="3"/>
  <c r="AF37" i="3"/>
  <c r="AE37" i="3"/>
  <c r="AD37" i="3"/>
  <c r="AC37" i="3"/>
  <c r="AB37" i="3"/>
  <c r="J37" i="3"/>
  <c r="AL37" i="3" s="1"/>
  <c r="I37" i="3"/>
  <c r="H37" i="3"/>
  <c r="BJ36" i="3"/>
  <c r="BF36" i="3"/>
  <c r="BD36" i="3"/>
  <c r="AW36" i="3"/>
  <c r="AP36" i="3"/>
  <c r="BI36" i="3" s="1"/>
  <c r="AO36" i="3"/>
  <c r="H36" i="3" s="1"/>
  <c r="AL36" i="3"/>
  <c r="AK36" i="3"/>
  <c r="AJ36" i="3"/>
  <c r="AH36" i="3"/>
  <c r="AG36" i="3"/>
  <c r="AF36" i="3"/>
  <c r="AE36" i="3"/>
  <c r="AD36" i="3"/>
  <c r="AC36" i="3"/>
  <c r="AB36" i="3"/>
  <c r="Z36" i="3"/>
  <c r="J36" i="3"/>
  <c r="I36" i="3"/>
  <c r="BJ35" i="3"/>
  <c r="Z35" i="3" s="1"/>
  <c r="BF35" i="3"/>
  <c r="BD35" i="3"/>
  <c r="AX35" i="3"/>
  <c r="AP35" i="3"/>
  <c r="I35" i="3" s="1"/>
  <c r="AO35" i="3"/>
  <c r="AW35" i="3" s="1"/>
  <c r="AK35" i="3"/>
  <c r="AJ35" i="3"/>
  <c r="AH35" i="3"/>
  <c r="AG35" i="3"/>
  <c r="AF35" i="3"/>
  <c r="AE35" i="3"/>
  <c r="AD35" i="3"/>
  <c r="AC35" i="3"/>
  <c r="AB35" i="3"/>
  <c r="J35" i="3"/>
  <c r="AL35" i="3" s="1"/>
  <c r="AU33" i="3" s="1"/>
  <c r="BJ34" i="3"/>
  <c r="BF34" i="3"/>
  <c r="BD34" i="3"/>
  <c r="AW34" i="3"/>
  <c r="AV34" i="3" s="1"/>
  <c r="AP34" i="3"/>
  <c r="AX34" i="3" s="1"/>
  <c r="BC34" i="3" s="1"/>
  <c r="AO34" i="3"/>
  <c r="BH34" i="3" s="1"/>
  <c r="AL34" i="3"/>
  <c r="AK34" i="3"/>
  <c r="AT33" i="3" s="1"/>
  <c r="AJ34" i="3"/>
  <c r="AS33" i="3" s="1"/>
  <c r="AH34" i="3"/>
  <c r="AG34" i="3"/>
  <c r="AF34" i="3"/>
  <c r="AE34" i="3"/>
  <c r="AD34" i="3"/>
  <c r="AC34" i="3"/>
  <c r="AB34" i="3"/>
  <c r="Z34" i="3"/>
  <c r="J34" i="3"/>
  <c r="H34" i="3"/>
  <c r="BJ32" i="3"/>
  <c r="BF32" i="3"/>
  <c r="BD32" i="3"/>
  <c r="AX32" i="3"/>
  <c r="AP32" i="3"/>
  <c r="I32" i="3" s="1"/>
  <c r="AO32" i="3"/>
  <c r="AW32" i="3" s="1"/>
  <c r="AK32" i="3"/>
  <c r="AJ32" i="3"/>
  <c r="AH32" i="3"/>
  <c r="AG32" i="3"/>
  <c r="AF32" i="3"/>
  <c r="AE32" i="3"/>
  <c r="AD32" i="3"/>
  <c r="Z32" i="3"/>
  <c r="J32" i="3"/>
  <c r="AL32" i="3" s="1"/>
  <c r="AU29" i="3" s="1"/>
  <c r="BJ30" i="3"/>
  <c r="BF30" i="3"/>
  <c r="BD30" i="3"/>
  <c r="AW30" i="3"/>
  <c r="AV30" i="3" s="1"/>
  <c r="AP30" i="3"/>
  <c r="AX30" i="3" s="1"/>
  <c r="BC30" i="3" s="1"/>
  <c r="AO30" i="3"/>
  <c r="BH30" i="3" s="1"/>
  <c r="AF30" i="3" s="1"/>
  <c r="AL30" i="3"/>
  <c r="AK30" i="3"/>
  <c r="AT29" i="3" s="1"/>
  <c r="AJ30" i="3"/>
  <c r="AS29" i="3" s="1"/>
  <c r="AH30" i="3"/>
  <c r="AE30" i="3"/>
  <c r="AD30" i="3"/>
  <c r="AC30" i="3"/>
  <c r="AB30" i="3"/>
  <c r="Z30" i="3"/>
  <c r="J30" i="3"/>
  <c r="H30" i="3"/>
  <c r="BJ28" i="3"/>
  <c r="BF28" i="3"/>
  <c r="BD28" i="3"/>
  <c r="AX28" i="3"/>
  <c r="AP28" i="3"/>
  <c r="I28" i="3" s="1"/>
  <c r="AO28" i="3"/>
  <c r="AW28" i="3" s="1"/>
  <c r="AK28" i="3"/>
  <c r="AJ28" i="3"/>
  <c r="AH28" i="3"/>
  <c r="AG28" i="3"/>
  <c r="AF28" i="3"/>
  <c r="AE28" i="3"/>
  <c r="AD28" i="3"/>
  <c r="Z28" i="3"/>
  <c r="J28" i="3"/>
  <c r="AL28" i="3" s="1"/>
  <c r="AU26" i="3" s="1"/>
  <c r="BJ27" i="3"/>
  <c r="BF27" i="3"/>
  <c r="BD27" i="3"/>
  <c r="AW27" i="3"/>
  <c r="AV27" i="3" s="1"/>
  <c r="AP27" i="3"/>
  <c r="AX27" i="3" s="1"/>
  <c r="BC27" i="3" s="1"/>
  <c r="AO27" i="3"/>
  <c r="BH27" i="3" s="1"/>
  <c r="AB27" i="3" s="1"/>
  <c r="AL27" i="3"/>
  <c r="AK27" i="3"/>
  <c r="AT26" i="3" s="1"/>
  <c r="AJ27" i="3"/>
  <c r="AS26" i="3" s="1"/>
  <c r="AH27" i="3"/>
  <c r="AG27" i="3"/>
  <c r="AF27" i="3"/>
  <c r="AE27" i="3"/>
  <c r="AD27" i="3"/>
  <c r="Z27" i="3"/>
  <c r="J27" i="3"/>
  <c r="H27" i="3"/>
  <c r="BJ25" i="3"/>
  <c r="BF25" i="3"/>
  <c r="BD25" i="3"/>
  <c r="AX25" i="3"/>
  <c r="AP25" i="3"/>
  <c r="I25" i="3" s="1"/>
  <c r="AO25" i="3"/>
  <c r="AW25" i="3" s="1"/>
  <c r="AK25" i="3"/>
  <c r="AJ25" i="3"/>
  <c r="AH25" i="3"/>
  <c r="AG25" i="3"/>
  <c r="AF25" i="3"/>
  <c r="AE25" i="3"/>
  <c r="AD25" i="3"/>
  <c r="Z25" i="3"/>
  <c r="J25" i="3"/>
  <c r="AL25" i="3" s="1"/>
  <c r="BJ24" i="3"/>
  <c r="BF24" i="3"/>
  <c r="BD24" i="3"/>
  <c r="AW24" i="3"/>
  <c r="AV24" i="3" s="1"/>
  <c r="AP24" i="3"/>
  <c r="AX24" i="3" s="1"/>
  <c r="BC24" i="3" s="1"/>
  <c r="AO24" i="3"/>
  <c r="BH24" i="3" s="1"/>
  <c r="AB24" i="3" s="1"/>
  <c r="AL24" i="3"/>
  <c r="AK24" i="3"/>
  <c r="AJ24" i="3"/>
  <c r="AS22" i="3" s="1"/>
  <c r="AH24" i="3"/>
  <c r="AG24" i="3"/>
  <c r="AF24" i="3"/>
  <c r="AE24" i="3"/>
  <c r="AD24" i="3"/>
  <c r="Z24" i="3"/>
  <c r="J24" i="3"/>
  <c r="H24" i="3"/>
  <c r="BJ23" i="3"/>
  <c r="BF23" i="3"/>
  <c r="BD23" i="3"/>
  <c r="AX23" i="3"/>
  <c r="AP23" i="3"/>
  <c r="BI23" i="3" s="1"/>
  <c r="AC23" i="3" s="1"/>
  <c r="AO23" i="3"/>
  <c r="BH23" i="3" s="1"/>
  <c r="AB23" i="3" s="1"/>
  <c r="AK23" i="3"/>
  <c r="AT22" i="3" s="1"/>
  <c r="AJ23" i="3"/>
  <c r="AH23" i="3"/>
  <c r="AG23" i="3"/>
  <c r="AF23" i="3"/>
  <c r="AE23" i="3"/>
  <c r="AD23" i="3"/>
  <c r="Z23" i="3"/>
  <c r="J23" i="3"/>
  <c r="AL23" i="3" s="1"/>
  <c r="AU22" i="3" s="1"/>
  <c r="I23" i="3"/>
  <c r="H23" i="3"/>
  <c r="J22" i="3"/>
  <c r="BJ21" i="3"/>
  <c r="BF21" i="3"/>
  <c r="BD21" i="3"/>
  <c r="AW21" i="3"/>
  <c r="AV21" i="3" s="1"/>
  <c r="AP21" i="3"/>
  <c r="AX21" i="3" s="1"/>
  <c r="BC21" i="3" s="1"/>
  <c r="AO21" i="3"/>
  <c r="BH21" i="3" s="1"/>
  <c r="AL21" i="3"/>
  <c r="AK21" i="3"/>
  <c r="AJ21" i="3"/>
  <c r="AH21" i="3"/>
  <c r="AG21" i="3"/>
  <c r="AF21" i="3"/>
  <c r="AE21" i="3"/>
  <c r="AD21" i="3"/>
  <c r="AC21" i="3"/>
  <c r="AB21" i="3"/>
  <c r="Z21" i="3"/>
  <c r="J21" i="3"/>
  <c r="H21" i="3"/>
  <c r="BJ20" i="3"/>
  <c r="Z20" i="3" s="1"/>
  <c r="BF20" i="3"/>
  <c r="BD20" i="3"/>
  <c r="AX20" i="3"/>
  <c r="AP20" i="3"/>
  <c r="BI20" i="3" s="1"/>
  <c r="AO20" i="3"/>
  <c r="BH20" i="3" s="1"/>
  <c r="AK20" i="3"/>
  <c r="AT18" i="3" s="1"/>
  <c r="AJ20" i="3"/>
  <c r="AH20" i="3"/>
  <c r="AG20" i="3"/>
  <c r="AF20" i="3"/>
  <c r="AE20" i="3"/>
  <c r="AD20" i="3"/>
  <c r="AC20" i="3"/>
  <c r="AB20" i="3"/>
  <c r="J20" i="3"/>
  <c r="AL20" i="3" s="1"/>
  <c r="I20" i="3"/>
  <c r="H20" i="3"/>
  <c r="BJ19" i="3"/>
  <c r="BF19" i="3"/>
  <c r="BD19" i="3"/>
  <c r="AW19" i="3"/>
  <c r="AP19" i="3"/>
  <c r="BI19" i="3" s="1"/>
  <c r="AC19" i="3" s="1"/>
  <c r="AO19" i="3"/>
  <c r="H19" i="3" s="1"/>
  <c r="H18" i="3" s="1"/>
  <c r="AL19" i="3"/>
  <c r="AK19" i="3"/>
  <c r="AJ19" i="3"/>
  <c r="AH19" i="3"/>
  <c r="AG19" i="3"/>
  <c r="AF19" i="3"/>
  <c r="AE19" i="3"/>
  <c r="AD19" i="3"/>
  <c r="Z19" i="3"/>
  <c r="J19" i="3"/>
  <c r="J18" i="3" s="1"/>
  <c r="I19" i="3"/>
  <c r="AS18" i="3"/>
  <c r="BJ17" i="3"/>
  <c r="BF17" i="3"/>
  <c r="BD17" i="3"/>
  <c r="AX17" i="3"/>
  <c r="AP17" i="3"/>
  <c r="BI17" i="3" s="1"/>
  <c r="AC17" i="3" s="1"/>
  <c r="AO17" i="3"/>
  <c r="BH17" i="3" s="1"/>
  <c r="AB17" i="3" s="1"/>
  <c r="AK17" i="3"/>
  <c r="C28" i="1" s="1"/>
  <c r="F28" i="1" s="1"/>
  <c r="AJ17" i="3"/>
  <c r="AH17" i="3"/>
  <c r="AG17" i="3"/>
  <c r="AF17" i="3"/>
  <c r="AE17" i="3"/>
  <c r="AD17" i="3"/>
  <c r="Z17" i="3"/>
  <c r="J17" i="3"/>
  <c r="AL17" i="3" s="1"/>
  <c r="I17" i="3"/>
  <c r="H17" i="3"/>
  <c r="BJ16" i="3"/>
  <c r="BF16" i="3"/>
  <c r="BD16" i="3"/>
  <c r="AW16" i="3"/>
  <c r="AP16" i="3"/>
  <c r="BI16" i="3" s="1"/>
  <c r="AC16" i="3" s="1"/>
  <c r="AO16" i="3"/>
  <c r="H16" i="3" s="1"/>
  <c r="AL16" i="3"/>
  <c r="AK16" i="3"/>
  <c r="AJ16" i="3"/>
  <c r="AH16" i="3"/>
  <c r="AG16" i="3"/>
  <c r="AF16" i="3"/>
  <c r="AE16" i="3"/>
  <c r="AD16" i="3"/>
  <c r="Z16" i="3"/>
  <c r="J16" i="3"/>
  <c r="I16" i="3"/>
  <c r="BJ15" i="3"/>
  <c r="BF15" i="3"/>
  <c r="BD15" i="3"/>
  <c r="AX15" i="3"/>
  <c r="AP15" i="3"/>
  <c r="I15" i="3" s="1"/>
  <c r="AO15" i="3"/>
  <c r="AW15" i="3" s="1"/>
  <c r="AK15" i="3"/>
  <c r="AJ15" i="3"/>
  <c r="AH15" i="3"/>
  <c r="AG15" i="3"/>
  <c r="AF15" i="3"/>
  <c r="AE15" i="3"/>
  <c r="AD15" i="3"/>
  <c r="Z15" i="3"/>
  <c r="J15" i="3"/>
  <c r="AL15" i="3" s="1"/>
  <c r="AU13" i="3" s="1"/>
  <c r="BJ14" i="3"/>
  <c r="BF14" i="3"/>
  <c r="BD14" i="3"/>
  <c r="AW14" i="3"/>
  <c r="AV14" i="3" s="1"/>
  <c r="AP14" i="3"/>
  <c r="AX14" i="3" s="1"/>
  <c r="BC14" i="3" s="1"/>
  <c r="AO14" i="3"/>
  <c r="BH14" i="3" s="1"/>
  <c r="AB14" i="3" s="1"/>
  <c r="AL14" i="3"/>
  <c r="AK14" i="3"/>
  <c r="AT13" i="3" s="1"/>
  <c r="AJ14" i="3"/>
  <c r="C27" i="1" s="1"/>
  <c r="AH14" i="3"/>
  <c r="AG14" i="3"/>
  <c r="AF14" i="3"/>
  <c r="AE14" i="3"/>
  <c r="C17" i="1" s="1"/>
  <c r="AD14" i="3"/>
  <c r="Z14" i="3"/>
  <c r="C21" i="1" s="1"/>
  <c r="J14" i="3"/>
  <c r="H14" i="3"/>
  <c r="AU1" i="3"/>
  <c r="AT1" i="3"/>
  <c r="AS1" i="3"/>
  <c r="I39" i="2"/>
  <c r="I38" i="2"/>
  <c r="I29" i="2"/>
  <c r="I28" i="2"/>
  <c r="I27" i="2"/>
  <c r="I26" i="2"/>
  <c r="I25" i="2"/>
  <c r="I24" i="2"/>
  <c r="I20" i="2"/>
  <c r="I19" i="2"/>
  <c r="I18" i="2"/>
  <c r="I17" i="2"/>
  <c r="I16" i="2"/>
  <c r="I15" i="2"/>
  <c r="I10" i="2"/>
  <c r="F10" i="2"/>
  <c r="C10" i="2"/>
  <c r="F8" i="2"/>
  <c r="C8" i="2"/>
  <c r="F6" i="2"/>
  <c r="C6" i="2"/>
  <c r="F4" i="2"/>
  <c r="C4" i="2"/>
  <c r="F2" i="2"/>
  <c r="C2" i="2"/>
  <c r="C16" i="1"/>
  <c r="I10" i="1"/>
  <c r="F10" i="1"/>
  <c r="C10" i="1"/>
  <c r="F8" i="1"/>
  <c r="C8" i="1"/>
  <c r="F6" i="1"/>
  <c r="C6" i="1"/>
  <c r="F4" i="1"/>
  <c r="C4" i="1"/>
  <c r="F2" i="1"/>
  <c r="C2" i="1"/>
  <c r="AV15" i="3" l="1"/>
  <c r="BC15" i="3"/>
  <c r="AU133" i="3"/>
  <c r="C18" i="1"/>
  <c r="AV47" i="3"/>
  <c r="BC47" i="3"/>
  <c r="AU100" i="3"/>
  <c r="AV35" i="3"/>
  <c r="BC35" i="3"/>
  <c r="AV39" i="3"/>
  <c r="BC39" i="3"/>
  <c r="H43" i="3"/>
  <c r="H42" i="3" s="1"/>
  <c r="AU18" i="3"/>
  <c r="AV25" i="3"/>
  <c r="BC25" i="3"/>
  <c r="AV28" i="3"/>
  <c r="BC28" i="3"/>
  <c r="AV32" i="3"/>
  <c r="BC32" i="3"/>
  <c r="AU43" i="3"/>
  <c r="BH15" i="3"/>
  <c r="AB15" i="3" s="1"/>
  <c r="C14" i="1" s="1"/>
  <c r="BI21" i="3"/>
  <c r="BI27" i="3"/>
  <c r="AC27" i="3" s="1"/>
  <c r="BI30" i="3"/>
  <c r="AG30" i="3" s="1"/>
  <c r="C19" i="1" s="1"/>
  <c r="BH32" i="3"/>
  <c r="AB32" i="3" s="1"/>
  <c r="BH47" i="3"/>
  <c r="AB47" i="3" s="1"/>
  <c r="AX78" i="3"/>
  <c r="I78" i="3"/>
  <c r="AX82" i="3"/>
  <c r="I82" i="3"/>
  <c r="AV84" i="3"/>
  <c r="BC84" i="3"/>
  <c r="AX86" i="3"/>
  <c r="I86" i="3"/>
  <c r="BC88" i="3"/>
  <c r="AV94" i="3"/>
  <c r="BC94" i="3"/>
  <c r="AX115" i="3"/>
  <c r="I115" i="3"/>
  <c r="AV141" i="3"/>
  <c r="BC141" i="3"/>
  <c r="AX164" i="3"/>
  <c r="I164" i="3"/>
  <c r="BI24" i="4"/>
  <c r="AC24" i="4" s="1"/>
  <c r="I24" i="4"/>
  <c r="I30" i="2"/>
  <c r="J13" i="3"/>
  <c r="BI15" i="3"/>
  <c r="AC15" i="3" s="1"/>
  <c r="AX16" i="3"/>
  <c r="AV16" i="3" s="1"/>
  <c r="BH16" i="3"/>
  <c r="AB16" i="3" s="1"/>
  <c r="AW17" i="3"/>
  <c r="AX19" i="3"/>
  <c r="BC19" i="3" s="1"/>
  <c r="BH19" i="3"/>
  <c r="AB19" i="3" s="1"/>
  <c r="AW20" i="3"/>
  <c r="AW23" i="3"/>
  <c r="BI25" i="3"/>
  <c r="AC25" i="3" s="1"/>
  <c r="J26" i="3"/>
  <c r="BI28" i="3"/>
  <c r="AC28" i="3" s="1"/>
  <c r="J29" i="3"/>
  <c r="BI32" i="3"/>
  <c r="AC32" i="3" s="1"/>
  <c r="J33" i="3"/>
  <c r="BI35" i="3"/>
  <c r="AX36" i="3"/>
  <c r="AV36" i="3" s="1"/>
  <c r="BH36" i="3"/>
  <c r="AW37" i="3"/>
  <c r="BI39" i="3"/>
  <c r="AX44" i="3"/>
  <c r="AV44" i="3" s="1"/>
  <c r="BH44" i="3"/>
  <c r="AB44" i="3" s="1"/>
  <c r="AW45" i="3"/>
  <c r="BI47" i="3"/>
  <c r="AC47" i="3" s="1"/>
  <c r="AX48" i="3"/>
  <c r="AV48" i="3" s="1"/>
  <c r="BH48" i="3"/>
  <c r="AB48" i="3" s="1"/>
  <c r="AW49" i="3"/>
  <c r="AX52" i="3"/>
  <c r="I52" i="3"/>
  <c r="I51" i="3" s="1"/>
  <c r="BI52" i="3"/>
  <c r="AC52" i="3" s="1"/>
  <c r="AV61" i="3"/>
  <c r="BC61" i="3"/>
  <c r="AV67" i="3"/>
  <c r="BC67" i="3"/>
  <c r="AT64" i="3"/>
  <c r="AX69" i="3"/>
  <c r="I69" i="3"/>
  <c r="BI69" i="3"/>
  <c r="AU89" i="3"/>
  <c r="AX92" i="3"/>
  <c r="I92" i="3"/>
  <c r="I89" i="3" s="1"/>
  <c r="BI92" i="3"/>
  <c r="AX96" i="3"/>
  <c r="I96" i="3"/>
  <c r="BI96" i="3"/>
  <c r="AL102" i="3"/>
  <c r="J100" i="3"/>
  <c r="J112" i="3"/>
  <c r="AW116" i="3"/>
  <c r="H116" i="3"/>
  <c r="H112" i="3" s="1"/>
  <c r="AX119" i="3"/>
  <c r="I119" i="3"/>
  <c r="I112" i="3" s="1"/>
  <c r="AU121" i="3"/>
  <c r="AX124" i="3"/>
  <c r="I124" i="3"/>
  <c r="I121" i="3" s="1"/>
  <c r="I120" i="3" s="1"/>
  <c r="AW125" i="3"/>
  <c r="H125" i="3"/>
  <c r="AW135" i="3"/>
  <c r="H135" i="3"/>
  <c r="H133" i="3" s="1"/>
  <c r="AX143" i="3"/>
  <c r="I143" i="3"/>
  <c r="I139" i="3" s="1"/>
  <c r="I138" i="3" s="1"/>
  <c r="AW145" i="3"/>
  <c r="H145" i="3"/>
  <c r="AW155" i="3"/>
  <c r="H155" i="3"/>
  <c r="AL158" i="3"/>
  <c r="AU157" i="3" s="1"/>
  <c r="J157" i="3"/>
  <c r="AX161" i="3"/>
  <c r="I161" i="3"/>
  <c r="I160" i="3" s="1"/>
  <c r="BI161" i="3"/>
  <c r="I162" i="3"/>
  <c r="AW165" i="3"/>
  <c r="H165" i="3"/>
  <c r="AX170" i="3"/>
  <c r="I170" i="3"/>
  <c r="I169" i="3" s="1"/>
  <c r="BI170" i="3"/>
  <c r="AW176" i="3"/>
  <c r="H176" i="3"/>
  <c r="H171" i="3" s="1"/>
  <c r="H168" i="3" s="1"/>
  <c r="AX181" i="3"/>
  <c r="I181" i="3"/>
  <c r="BI181" i="3"/>
  <c r="AC181" i="3" s="1"/>
  <c r="AV183" i="3"/>
  <c r="BC183" i="3"/>
  <c r="BI199" i="3"/>
  <c r="AX199" i="3"/>
  <c r="I199" i="3"/>
  <c r="I198" i="3" s="1"/>
  <c r="AW78" i="4"/>
  <c r="BH78" i="4"/>
  <c r="AB78" i="4" s="1"/>
  <c r="BI14" i="3"/>
  <c r="AC14" i="3" s="1"/>
  <c r="BI34" i="3"/>
  <c r="BI38" i="3"/>
  <c r="BH39" i="3"/>
  <c r="BI41" i="3"/>
  <c r="AV57" i="3"/>
  <c r="BC57" i="3"/>
  <c r="AX65" i="3"/>
  <c r="I65" i="3"/>
  <c r="I64" i="3" s="1"/>
  <c r="AV71" i="3"/>
  <c r="BC71" i="3"/>
  <c r="AW76" i="3"/>
  <c r="H76" i="3"/>
  <c r="H75" i="3" s="1"/>
  <c r="BI86" i="3"/>
  <c r="AC86" i="3" s="1"/>
  <c r="AV98" i="3"/>
  <c r="BC98" i="3"/>
  <c r="BC108" i="3"/>
  <c r="BI115" i="3"/>
  <c r="AV122" i="3"/>
  <c r="BC122" i="3"/>
  <c r="H162" i="3"/>
  <c r="I21" i="2"/>
  <c r="F32" i="2" s="1"/>
  <c r="AS13" i="3"/>
  <c r="I14" i="3"/>
  <c r="I13" i="3" s="1"/>
  <c r="H15" i="3"/>
  <c r="H13" i="3" s="1"/>
  <c r="BC16" i="3"/>
  <c r="I21" i="3"/>
  <c r="I18" i="3" s="1"/>
  <c r="I24" i="3"/>
  <c r="I22" i="3" s="1"/>
  <c r="H25" i="3"/>
  <c r="H22" i="3" s="1"/>
  <c r="I27" i="3"/>
  <c r="I26" i="3" s="1"/>
  <c r="H28" i="3"/>
  <c r="H26" i="3" s="1"/>
  <c r="I30" i="3"/>
  <c r="I29" i="3" s="1"/>
  <c r="H32" i="3"/>
  <c r="H29" i="3" s="1"/>
  <c r="I34" i="3"/>
  <c r="H35" i="3"/>
  <c r="H33" i="3" s="1"/>
  <c r="BC36" i="3"/>
  <c r="I38" i="3"/>
  <c r="H39" i="3"/>
  <c r="I41" i="3"/>
  <c r="I40" i="3" s="1"/>
  <c r="BC44" i="3"/>
  <c r="I46" i="3"/>
  <c r="I43" i="3" s="1"/>
  <c r="I42" i="3" s="1"/>
  <c r="H47" i="3"/>
  <c r="BC48" i="3"/>
  <c r="AW56" i="3"/>
  <c r="H56" i="3"/>
  <c r="H53" i="3" s="1"/>
  <c r="AW63" i="3"/>
  <c r="H63" i="3"/>
  <c r="H62" i="3" s="1"/>
  <c r="AW66" i="3"/>
  <c r="H66" i="3"/>
  <c r="H64" i="3" s="1"/>
  <c r="AW70" i="3"/>
  <c r="H70" i="3"/>
  <c r="AT77" i="3"/>
  <c r="AL79" i="3"/>
  <c r="AU77" i="3" s="1"/>
  <c r="J77" i="3"/>
  <c r="AW93" i="3"/>
  <c r="H93" i="3"/>
  <c r="H89" i="3" s="1"/>
  <c r="AW97" i="3"/>
  <c r="H97" i="3"/>
  <c r="AW102" i="3"/>
  <c r="H102" i="3"/>
  <c r="H100" i="3" s="1"/>
  <c r="H99" i="3" s="1"/>
  <c r="AW106" i="3"/>
  <c r="H106" i="3"/>
  <c r="H121" i="3"/>
  <c r="AV126" i="3"/>
  <c r="BC126" i="3"/>
  <c r="AW132" i="3"/>
  <c r="H132" i="3"/>
  <c r="H131" i="3" s="1"/>
  <c r="AL135" i="3"/>
  <c r="J133" i="3"/>
  <c r="AL140" i="3"/>
  <c r="AU139" i="3" s="1"/>
  <c r="J139" i="3"/>
  <c r="J138" i="3" s="1"/>
  <c r="AV147" i="3"/>
  <c r="BC147" i="3"/>
  <c r="J152" i="3"/>
  <c r="AX154" i="3"/>
  <c r="I154" i="3"/>
  <c r="I152" i="3" s="1"/>
  <c r="BI154" i="3"/>
  <c r="AC154" i="3" s="1"/>
  <c r="AV156" i="3"/>
  <c r="BC156" i="3"/>
  <c r="AW158" i="3"/>
  <c r="H158" i="3"/>
  <c r="H157" i="3" s="1"/>
  <c r="BH165" i="3"/>
  <c r="J168" i="3"/>
  <c r="BH176" i="3"/>
  <c r="BC184" i="3"/>
  <c r="AV186" i="3"/>
  <c r="BC186" i="3"/>
  <c r="AV28" i="4"/>
  <c r="BI30" i="4"/>
  <c r="AG30" i="4" s="1"/>
  <c r="I30" i="4"/>
  <c r="I29" i="4" s="1"/>
  <c r="AW45" i="4"/>
  <c r="BH45" i="4"/>
  <c r="BI24" i="3"/>
  <c r="AC24" i="3" s="1"/>
  <c r="BH25" i="3"/>
  <c r="AB25" i="3" s="1"/>
  <c r="BH28" i="3"/>
  <c r="AB28" i="3" s="1"/>
  <c r="BH35" i="3"/>
  <c r="BI46" i="3"/>
  <c r="AC46" i="3" s="1"/>
  <c r="BI78" i="3"/>
  <c r="AC78" i="3" s="1"/>
  <c r="AV80" i="3"/>
  <c r="BC80" i="3"/>
  <c r="BI82" i="3"/>
  <c r="AC82" i="3" s="1"/>
  <c r="AV90" i="3"/>
  <c r="BC90" i="3"/>
  <c r="AV130" i="3"/>
  <c r="BC130" i="3"/>
  <c r="AX150" i="3"/>
  <c r="I150" i="3"/>
  <c r="BI164" i="3"/>
  <c r="AX174" i="3"/>
  <c r="I174" i="3"/>
  <c r="I171" i="3" s="1"/>
  <c r="AW182" i="3"/>
  <c r="H182" i="3"/>
  <c r="H179" i="3" s="1"/>
  <c r="H178" i="3" s="1"/>
  <c r="H202" i="3"/>
  <c r="BH202" i="3"/>
  <c r="AW202" i="3"/>
  <c r="AW42" i="4"/>
  <c r="I42" i="4"/>
  <c r="BJ42" i="4"/>
  <c r="H42" i="4"/>
  <c r="J42" i="4"/>
  <c r="BI42" i="4"/>
  <c r="AC42" i="4" s="1"/>
  <c r="AX42" i="4"/>
  <c r="BH42" i="4"/>
  <c r="AB42" i="4" s="1"/>
  <c r="AO87" i="4"/>
  <c r="BD87" i="4"/>
  <c r="BJ87" i="4"/>
  <c r="Z87" i="4" s="1"/>
  <c r="AP87" i="4"/>
  <c r="J53" i="3"/>
  <c r="J50" i="3" s="1"/>
  <c r="AT53" i="3"/>
  <c r="AX55" i="3"/>
  <c r="I55" i="3"/>
  <c r="I53" i="3" s="1"/>
  <c r="BI55" i="3"/>
  <c r="AC55" i="3" s="1"/>
  <c r="BH56" i="3"/>
  <c r="AB56" i="3" s="1"/>
  <c r="AX59" i="3"/>
  <c r="I59" i="3"/>
  <c r="BI59" i="3"/>
  <c r="AC59" i="3" s="1"/>
  <c r="AW60" i="3"/>
  <c r="H60" i="3"/>
  <c r="AL63" i="3"/>
  <c r="AU62" i="3" s="1"/>
  <c r="J62" i="3"/>
  <c r="BH63" i="3"/>
  <c r="AL66" i="3"/>
  <c r="AU64" i="3" s="1"/>
  <c r="J64" i="3"/>
  <c r="BH66" i="3"/>
  <c r="BH70" i="3"/>
  <c r="AL76" i="3"/>
  <c r="AU75" i="3" s="1"/>
  <c r="J75" i="3"/>
  <c r="J74" i="3" s="1"/>
  <c r="AW79" i="3"/>
  <c r="H79" i="3"/>
  <c r="H77" i="3" s="1"/>
  <c r="AW83" i="3"/>
  <c r="H83" i="3"/>
  <c r="BH93" i="3"/>
  <c r="BH97" i="3"/>
  <c r="AX101" i="3"/>
  <c r="I101" i="3"/>
  <c r="BI101" i="3"/>
  <c r="AC101" i="3" s="1"/>
  <c r="BH102" i="3"/>
  <c r="AB102" i="3" s="1"/>
  <c r="AV103" i="3"/>
  <c r="BC103" i="3"/>
  <c r="AX105" i="3"/>
  <c r="I105" i="3"/>
  <c r="BI105" i="3"/>
  <c r="AC105" i="3" s="1"/>
  <c r="BH106" i="3"/>
  <c r="AB106" i="3" s="1"/>
  <c r="AV107" i="3"/>
  <c r="BC107" i="3"/>
  <c r="AX109" i="3"/>
  <c r="I109" i="3"/>
  <c r="BI109" i="3"/>
  <c r="AC109" i="3" s="1"/>
  <c r="AV113" i="3"/>
  <c r="BC113" i="3"/>
  <c r="AV117" i="3"/>
  <c r="BC117" i="3"/>
  <c r="J121" i="3"/>
  <c r="J120" i="3" s="1"/>
  <c r="AX128" i="3"/>
  <c r="I128" i="3"/>
  <c r="AW129" i="3"/>
  <c r="H129" i="3"/>
  <c r="AL132" i="3"/>
  <c r="AU131" i="3" s="1"/>
  <c r="J131" i="3"/>
  <c r="BH132" i="3"/>
  <c r="AX134" i="3"/>
  <c r="I134" i="3"/>
  <c r="I133" i="3" s="1"/>
  <c r="AV136" i="3"/>
  <c r="BC136" i="3"/>
  <c r="AW140" i="3"/>
  <c r="H140" i="3"/>
  <c r="H152" i="3"/>
  <c r="AU152" i="3"/>
  <c r="BH158" i="3"/>
  <c r="AB158" i="3" s="1"/>
  <c r="J162" i="3"/>
  <c r="AV166" i="3"/>
  <c r="BC166" i="3"/>
  <c r="J171" i="3"/>
  <c r="I179" i="3"/>
  <c r="AS188" i="3"/>
  <c r="AL191" i="3"/>
  <c r="AU188" i="3" s="1"/>
  <c r="J188" i="3"/>
  <c r="J178" i="3" s="1"/>
  <c r="BH196" i="3"/>
  <c r="AW196" i="3"/>
  <c r="H196" i="3"/>
  <c r="H195" i="3" s="1"/>
  <c r="BD121" i="4"/>
  <c r="AP121" i="4"/>
  <c r="J121" i="4"/>
  <c r="AO121" i="4"/>
  <c r="BH121" i="4" s="1"/>
  <c r="BI56" i="3"/>
  <c r="AC56" i="3" s="1"/>
  <c r="BI70" i="3"/>
  <c r="BH71" i="3"/>
  <c r="BI76" i="3"/>
  <c r="AC76" i="3" s="1"/>
  <c r="BI79" i="3"/>
  <c r="AC79" i="3" s="1"/>
  <c r="BH80" i="3"/>
  <c r="AB80" i="3" s="1"/>
  <c r="BI83" i="3"/>
  <c r="AC83" i="3" s="1"/>
  <c r="BH84" i="3"/>
  <c r="AB84" i="3" s="1"/>
  <c r="BH90" i="3"/>
  <c r="BI93" i="3"/>
  <c r="BH94" i="3"/>
  <c r="BI97" i="3"/>
  <c r="BH98" i="3"/>
  <c r="BI102" i="3"/>
  <c r="AC102" i="3" s="1"/>
  <c r="BH103" i="3"/>
  <c r="AB103" i="3" s="1"/>
  <c r="BI106" i="3"/>
  <c r="AC106" i="3" s="1"/>
  <c r="BH107" i="3"/>
  <c r="AB107" i="3" s="1"/>
  <c r="BH113" i="3"/>
  <c r="BI116" i="3"/>
  <c r="BH117" i="3"/>
  <c r="BH122" i="3"/>
  <c r="AB122" i="3" s="1"/>
  <c r="BI125" i="3"/>
  <c r="AC125" i="3" s="1"/>
  <c r="BH126" i="3"/>
  <c r="AB126" i="3" s="1"/>
  <c r="BI129" i="3"/>
  <c r="AC129" i="3" s="1"/>
  <c r="BH130" i="3"/>
  <c r="AB130" i="3" s="1"/>
  <c r="BI132" i="3"/>
  <c r="BI135" i="3"/>
  <c r="BH136" i="3"/>
  <c r="BI140" i="3"/>
  <c r="AC140" i="3" s="1"/>
  <c r="BH141" i="3"/>
  <c r="AB141" i="3" s="1"/>
  <c r="BI145" i="3"/>
  <c r="AC145" i="3" s="1"/>
  <c r="BH147" i="3"/>
  <c r="AB147" i="3" s="1"/>
  <c r="BI155" i="3"/>
  <c r="AC155" i="3" s="1"/>
  <c r="BH156" i="3"/>
  <c r="AB156" i="3" s="1"/>
  <c r="BI158" i="3"/>
  <c r="AC158" i="3" s="1"/>
  <c r="BI165" i="3"/>
  <c r="BH166" i="3"/>
  <c r="BI176" i="3"/>
  <c r="BI182" i="3"/>
  <c r="AC182" i="3" s="1"/>
  <c r="BH183" i="3"/>
  <c r="AB183" i="3" s="1"/>
  <c r="BH186" i="3"/>
  <c r="AB186" i="3" s="1"/>
  <c r="AV199" i="3"/>
  <c r="BC199" i="3"/>
  <c r="BI14" i="4"/>
  <c r="AC14" i="4" s="1"/>
  <c r="I14" i="4"/>
  <c r="I13" i="4" s="1"/>
  <c r="AW19" i="4"/>
  <c r="BJ19" i="4"/>
  <c r="H19" i="4"/>
  <c r="AO20" i="4"/>
  <c r="BH20" i="4" s="1"/>
  <c r="BD20" i="4"/>
  <c r="BI21" i="4"/>
  <c r="I21" i="4"/>
  <c r="BH27" i="4"/>
  <c r="AB27" i="4" s="1"/>
  <c r="BJ51" i="4"/>
  <c r="H51" i="4"/>
  <c r="AW51" i="4"/>
  <c r="J51" i="4"/>
  <c r="AL51" i="4" s="1"/>
  <c r="BH51" i="4"/>
  <c r="AB51" i="4" s="1"/>
  <c r="AO66" i="4"/>
  <c r="AP66" i="4"/>
  <c r="BD66" i="4"/>
  <c r="BJ66" i="4"/>
  <c r="I70" i="4"/>
  <c r="BI70" i="4"/>
  <c r="AC70" i="4" s="1"/>
  <c r="BJ72" i="4"/>
  <c r="H72" i="4"/>
  <c r="AW72" i="4"/>
  <c r="J72" i="4"/>
  <c r="AL72" i="4" s="1"/>
  <c r="BH72" i="4"/>
  <c r="AB72" i="4" s="1"/>
  <c r="AV91" i="4"/>
  <c r="AO94" i="4"/>
  <c r="BJ94" i="4"/>
  <c r="BD94" i="4"/>
  <c r="AP94" i="4"/>
  <c r="AW52" i="3"/>
  <c r="AX54" i="3"/>
  <c r="AV54" i="3" s="1"/>
  <c r="AW55" i="3"/>
  <c r="AX58" i="3"/>
  <c r="AV58" i="3" s="1"/>
  <c r="AW59" i="3"/>
  <c r="AW65" i="3"/>
  <c r="AX68" i="3"/>
  <c r="AV68" i="3" s="1"/>
  <c r="AW69" i="3"/>
  <c r="AX72" i="3"/>
  <c r="AV72" i="3" s="1"/>
  <c r="AW78" i="3"/>
  <c r="AX81" i="3"/>
  <c r="AV81" i="3" s="1"/>
  <c r="AW82" i="3"/>
  <c r="AX85" i="3"/>
  <c r="AV85" i="3" s="1"/>
  <c r="AW86" i="3"/>
  <c r="AX88" i="3"/>
  <c r="AV88" i="3" s="1"/>
  <c r="AX91" i="3"/>
  <c r="AV91" i="3" s="1"/>
  <c r="AW92" i="3"/>
  <c r="AX95" i="3"/>
  <c r="AV95" i="3" s="1"/>
  <c r="AW96" i="3"/>
  <c r="AW101" i="3"/>
  <c r="AX104" i="3"/>
  <c r="AV104" i="3" s="1"/>
  <c r="AW105" i="3"/>
  <c r="AX108" i="3"/>
  <c r="AV108" i="3" s="1"/>
  <c r="AW109" i="3"/>
  <c r="AX111" i="3"/>
  <c r="AV111" i="3" s="1"/>
  <c r="AX114" i="3"/>
  <c r="AV114" i="3" s="1"/>
  <c r="AW115" i="3"/>
  <c r="AX137" i="3"/>
  <c r="AV137" i="3" s="1"/>
  <c r="AX149" i="3"/>
  <c r="AV149" i="3" s="1"/>
  <c r="AW150" i="3"/>
  <c r="AX153" i="3"/>
  <c r="AV153" i="3" s="1"/>
  <c r="AW154" i="3"/>
  <c r="AW161" i="3"/>
  <c r="AX163" i="3"/>
  <c r="AV163" i="3" s="1"/>
  <c r="AW164" i="3"/>
  <c r="AW170" i="3"/>
  <c r="AX172" i="3"/>
  <c r="AV172" i="3" s="1"/>
  <c r="AW174" i="3"/>
  <c r="AX180" i="3"/>
  <c r="AV180" i="3" s="1"/>
  <c r="AW181" i="3"/>
  <c r="AX184" i="3"/>
  <c r="AV184" i="3" s="1"/>
  <c r="BI191" i="3"/>
  <c r="AC191" i="3" s="1"/>
  <c r="AW201" i="3"/>
  <c r="H201" i="3"/>
  <c r="H200" i="3" s="1"/>
  <c r="AO23" i="4"/>
  <c r="AW23" i="4" s="1"/>
  <c r="BD23" i="4"/>
  <c r="BI27" i="4"/>
  <c r="AC27" i="4" s="1"/>
  <c r="I27" i="4"/>
  <c r="I26" i="4" s="1"/>
  <c r="BJ39" i="4"/>
  <c r="Z39" i="4" s="1"/>
  <c r="H39" i="4"/>
  <c r="J39" i="4"/>
  <c r="AL39" i="4" s="1"/>
  <c r="BJ48" i="4"/>
  <c r="H48" i="4"/>
  <c r="H47" i="4" s="1"/>
  <c r="AW48" i="4"/>
  <c r="J48" i="4"/>
  <c r="BH48" i="4"/>
  <c r="AB48" i="4" s="1"/>
  <c r="AW56" i="4"/>
  <c r="I56" i="4"/>
  <c r="BJ56" i="4"/>
  <c r="H56" i="4"/>
  <c r="J56" i="4"/>
  <c r="AL56" i="4" s="1"/>
  <c r="BI56" i="4"/>
  <c r="AC56" i="4" s="1"/>
  <c r="AX56" i="4"/>
  <c r="AO80" i="4"/>
  <c r="AP80" i="4"/>
  <c r="BD80" i="4"/>
  <c r="BJ80" i="4"/>
  <c r="I84" i="4"/>
  <c r="BI84" i="4"/>
  <c r="AC84" i="4" s="1"/>
  <c r="AT115" i="4"/>
  <c r="BI141" i="4"/>
  <c r="AC141" i="4" s="1"/>
  <c r="AX141" i="4"/>
  <c r="BI26" i="5"/>
  <c r="AX26" i="5"/>
  <c r="AL201" i="3"/>
  <c r="AU200" i="3" s="1"/>
  <c r="J200" i="3"/>
  <c r="AV203" i="3"/>
  <c r="BC203" i="3"/>
  <c r="AV15" i="4"/>
  <c r="AW16" i="4"/>
  <c r="I16" i="4"/>
  <c r="BJ16" i="4"/>
  <c r="H16" i="4"/>
  <c r="AX16" i="4"/>
  <c r="AO17" i="4"/>
  <c r="H17" i="4" s="1"/>
  <c r="BD17" i="4"/>
  <c r="J19" i="4"/>
  <c r="BH19" i="4"/>
  <c r="AB19" i="4" s="1"/>
  <c r="AP23" i="4"/>
  <c r="BI23" i="4" s="1"/>
  <c r="AC23" i="4" s="1"/>
  <c r="BI25" i="4"/>
  <c r="AC25" i="4" s="1"/>
  <c r="BI32" i="4"/>
  <c r="AC32" i="4" s="1"/>
  <c r="AL34" i="4"/>
  <c r="I35" i="4"/>
  <c r="BJ35" i="4"/>
  <c r="Z35" i="4" s="1"/>
  <c r="J35" i="4"/>
  <c r="AL35" i="4" s="1"/>
  <c r="H35" i="4"/>
  <c r="AT49" i="4"/>
  <c r="BD52" i="4"/>
  <c r="AP52" i="4"/>
  <c r="I52" i="4" s="1"/>
  <c r="AO52" i="4"/>
  <c r="BH56" i="4"/>
  <c r="AB56" i="4" s="1"/>
  <c r="AW59" i="4"/>
  <c r="I59" i="4"/>
  <c r="I58" i="4" s="1"/>
  <c r="BJ59" i="4"/>
  <c r="Z59" i="4" s="1"/>
  <c r="AX59" i="4"/>
  <c r="J59" i="4"/>
  <c r="BC70" i="4"/>
  <c r="AO90" i="4"/>
  <c r="BH90" i="4" s="1"/>
  <c r="AB90" i="4" s="1"/>
  <c r="AP90" i="4"/>
  <c r="BD90" i="4"/>
  <c r="BJ90" i="4"/>
  <c r="AW93" i="4"/>
  <c r="BJ93" i="4"/>
  <c r="H93" i="4"/>
  <c r="BI93" i="4"/>
  <c r="AC93" i="4" s="1"/>
  <c r="BH93" i="4"/>
  <c r="AB93" i="4" s="1"/>
  <c r="J93" i="4"/>
  <c r="AL93" i="4" s="1"/>
  <c r="I205" i="3"/>
  <c r="I200" i="3" s="1"/>
  <c r="J15" i="4"/>
  <c r="AL15" i="4" s="1"/>
  <c r="AX15" i="4"/>
  <c r="BC15" i="4" s="1"/>
  <c r="BH15" i="4"/>
  <c r="AB15" i="4" s="1"/>
  <c r="AP16" i="4"/>
  <c r="BI16" i="4" s="1"/>
  <c r="AC16" i="4" s="1"/>
  <c r="BJ17" i="4"/>
  <c r="AP19" i="4"/>
  <c r="BI19" i="4" s="1"/>
  <c r="AC19" i="4" s="1"/>
  <c r="H20" i="4"/>
  <c r="BJ20" i="4"/>
  <c r="Z20" i="4" s="1"/>
  <c r="BJ23" i="4"/>
  <c r="J25" i="4"/>
  <c r="AL25" i="4" s="1"/>
  <c r="AX25" i="4"/>
  <c r="AV25" i="4" s="1"/>
  <c r="BH25" i="4"/>
  <c r="AB25" i="4" s="1"/>
  <c r="J28" i="4"/>
  <c r="AL28" i="4" s="1"/>
  <c r="AX28" i="4"/>
  <c r="BC28" i="4" s="1"/>
  <c r="BH28" i="4"/>
  <c r="AB28" i="4" s="1"/>
  <c r="J32" i="4"/>
  <c r="AL32" i="4" s="1"/>
  <c r="AX32" i="4"/>
  <c r="AV32" i="4" s="1"/>
  <c r="BH32" i="4"/>
  <c r="AB32" i="4" s="1"/>
  <c r="BJ34" i="4"/>
  <c r="Z34" i="4" s="1"/>
  <c r="H34" i="4"/>
  <c r="BC37" i="4"/>
  <c r="BJ38" i="4"/>
  <c r="Z38" i="4" s="1"/>
  <c r="H38" i="4"/>
  <c r="AO39" i="4"/>
  <c r="AW39" i="4" s="1"/>
  <c r="BD43" i="4"/>
  <c r="BJ55" i="4"/>
  <c r="H55" i="4"/>
  <c r="BD57" i="4"/>
  <c r="AO59" i="4"/>
  <c r="BH59" i="4" s="1"/>
  <c r="AW62" i="4"/>
  <c r="I62" i="4"/>
  <c r="I61" i="4" s="1"/>
  <c r="BJ62" i="4"/>
  <c r="H62" i="4"/>
  <c r="H61" i="4" s="1"/>
  <c r="BH62" i="4"/>
  <c r="AB62" i="4" s="1"/>
  <c r="AW65" i="4"/>
  <c r="I65" i="4"/>
  <c r="BJ65" i="4"/>
  <c r="H65" i="4"/>
  <c r="BH65" i="4"/>
  <c r="AB65" i="4" s="1"/>
  <c r="I68" i="4"/>
  <c r="BH68" i="4"/>
  <c r="AB68" i="4" s="1"/>
  <c r="AO69" i="4"/>
  <c r="AW79" i="4"/>
  <c r="I79" i="4"/>
  <c r="BJ79" i="4"/>
  <c r="H79" i="4"/>
  <c r="BH79" i="4"/>
  <c r="AB79" i="4" s="1"/>
  <c r="BH82" i="4"/>
  <c r="AB82" i="4" s="1"/>
  <c r="AO83" i="4"/>
  <c r="AV84" i="4"/>
  <c r="I103" i="4"/>
  <c r="BJ103" i="4"/>
  <c r="J103" i="4"/>
  <c r="BI103" i="4"/>
  <c r="AC103" i="4" s="1"/>
  <c r="AX103" i="4"/>
  <c r="BJ117" i="4"/>
  <c r="H117" i="4"/>
  <c r="AW117" i="4"/>
  <c r="J117" i="4"/>
  <c r="AL117" i="4" s="1"/>
  <c r="BH117" i="4"/>
  <c r="AB117" i="4" s="1"/>
  <c r="I127" i="4"/>
  <c r="BJ127" i="4"/>
  <c r="J127" i="4"/>
  <c r="BI127" i="4"/>
  <c r="AC127" i="4" s="1"/>
  <c r="AX127" i="4"/>
  <c r="BD54" i="5"/>
  <c r="AP54" i="5"/>
  <c r="AO54" i="5"/>
  <c r="AW54" i="5" s="1"/>
  <c r="AX205" i="3"/>
  <c r="J14" i="4"/>
  <c r="AO14" i="4"/>
  <c r="AX14" i="4"/>
  <c r="I17" i="4"/>
  <c r="I20" i="4"/>
  <c r="AW20" i="4"/>
  <c r="J21" i="4"/>
  <c r="AL21" i="4" s="1"/>
  <c r="AO21" i="4"/>
  <c r="AX21" i="4"/>
  <c r="J24" i="4"/>
  <c r="AL24" i="4" s="1"/>
  <c r="AO24" i="4"/>
  <c r="AX24" i="4"/>
  <c r="J27" i="4"/>
  <c r="AO27" i="4"/>
  <c r="AX27" i="4"/>
  <c r="J30" i="4"/>
  <c r="AO30" i="4"/>
  <c r="BH30" i="4" s="1"/>
  <c r="AF30" i="4" s="1"/>
  <c r="AX30" i="4"/>
  <c r="AW34" i="4"/>
  <c r="BH34" i="4"/>
  <c r="AO35" i="4"/>
  <c r="BH35" i="4" s="1"/>
  <c r="AP36" i="4"/>
  <c r="AP39" i="4"/>
  <c r="BI39" i="4" s="1"/>
  <c r="BH43" i="4"/>
  <c r="AB43" i="4" s="1"/>
  <c r="AP43" i="4"/>
  <c r="BJ45" i="4"/>
  <c r="Z45" i="4" s="1"/>
  <c r="H45" i="4"/>
  <c r="BI53" i="4"/>
  <c r="AC53" i="4" s="1"/>
  <c r="BH57" i="4"/>
  <c r="AB57" i="4" s="1"/>
  <c r="AP57" i="4"/>
  <c r="AP59" i="4"/>
  <c r="BI59" i="4" s="1"/>
  <c r="J61" i="4"/>
  <c r="AX62" i="4"/>
  <c r="BI62" i="4"/>
  <c r="AC62" i="4" s="1"/>
  <c r="BJ64" i="4"/>
  <c r="H64" i="4"/>
  <c r="AS63" i="4"/>
  <c r="AX65" i="4"/>
  <c r="BI65" i="4"/>
  <c r="AC65" i="4" s="1"/>
  <c r="BI67" i="4"/>
  <c r="AC67" i="4" s="1"/>
  <c r="J68" i="4"/>
  <c r="AL68" i="4" s="1"/>
  <c r="AW69" i="4"/>
  <c r="BJ69" i="4"/>
  <c r="H69" i="4"/>
  <c r="AP69" i="4"/>
  <c r="BH69" i="4"/>
  <c r="AB69" i="4" s="1"/>
  <c r="H70" i="4"/>
  <c r="BJ70" i="4"/>
  <c r="BC77" i="4"/>
  <c r="BJ78" i="4"/>
  <c r="H78" i="4"/>
  <c r="AX78" i="4"/>
  <c r="AX79" i="4"/>
  <c r="BI79" i="4"/>
  <c r="AC79" i="4" s="1"/>
  <c r="BI81" i="4"/>
  <c r="AC81" i="4" s="1"/>
  <c r="J82" i="4"/>
  <c r="AL82" i="4" s="1"/>
  <c r="AW83" i="4"/>
  <c r="I83" i="4"/>
  <c r="BJ83" i="4"/>
  <c r="H83" i="4"/>
  <c r="AP83" i="4"/>
  <c r="BH83" i="4"/>
  <c r="AB83" i="4" s="1"/>
  <c r="H84" i="4"/>
  <c r="BJ84" i="4"/>
  <c r="BI91" i="4"/>
  <c r="AC91" i="4" s="1"/>
  <c r="J92" i="4"/>
  <c r="AL92" i="4" s="1"/>
  <c r="BJ53" i="5"/>
  <c r="AH53" i="5" s="1"/>
  <c r="H53" i="5"/>
  <c r="BH53" i="5"/>
  <c r="J53" i="5"/>
  <c r="AL53" i="5" s="1"/>
  <c r="AW53" i="5"/>
  <c r="BI70" i="5"/>
  <c r="AX70" i="5"/>
  <c r="J17" i="4"/>
  <c r="AL17" i="4" s="1"/>
  <c r="AX17" i="4"/>
  <c r="J20" i="4"/>
  <c r="AL20" i="4" s="1"/>
  <c r="AX20" i="4"/>
  <c r="J23" i="4"/>
  <c r="BI50" i="4"/>
  <c r="AC50" i="4" s="1"/>
  <c r="AS49" i="4"/>
  <c r="AW52" i="4"/>
  <c r="BJ52" i="4"/>
  <c r="H52" i="4"/>
  <c r="BH52" i="4"/>
  <c r="AB52" i="4" s="1"/>
  <c r="AT63" i="4"/>
  <c r="BH66" i="4"/>
  <c r="AB66" i="4" s="1"/>
  <c r="BJ68" i="4"/>
  <c r="H68" i="4"/>
  <c r="AX68" i="4"/>
  <c r="AV68" i="4" s="1"/>
  <c r="BI71" i="4"/>
  <c r="AC71" i="4" s="1"/>
  <c r="BJ82" i="4"/>
  <c r="H82" i="4"/>
  <c r="BD84" i="4"/>
  <c r="BI85" i="4"/>
  <c r="AC85" i="4" s="1"/>
  <c r="BH87" i="4"/>
  <c r="BC91" i="4"/>
  <c r="BJ92" i="4"/>
  <c r="H92" i="4"/>
  <c r="BH92" i="4"/>
  <c r="AB92" i="4" s="1"/>
  <c r="BH94" i="4"/>
  <c r="AB94" i="4" s="1"/>
  <c r="AW97" i="4"/>
  <c r="BJ97" i="4"/>
  <c r="I97" i="4"/>
  <c r="BI97" i="4"/>
  <c r="AC97" i="4" s="1"/>
  <c r="AX97" i="4"/>
  <c r="BJ100" i="4"/>
  <c r="Z100" i="4" s="1"/>
  <c r="BH100" i="4"/>
  <c r="J100" i="4"/>
  <c r="I108" i="4"/>
  <c r="BJ108" i="4"/>
  <c r="J108" i="4"/>
  <c r="AL108" i="4" s="1"/>
  <c r="BI108" i="4"/>
  <c r="AC108" i="4" s="1"/>
  <c r="AX108" i="4"/>
  <c r="BD118" i="4"/>
  <c r="AP118" i="4"/>
  <c r="AO118" i="4"/>
  <c r="H118" i="4" s="1"/>
  <c r="J118" i="4"/>
  <c r="AL118" i="4" s="1"/>
  <c r="BJ124" i="4"/>
  <c r="Z124" i="4" s="1"/>
  <c r="J124" i="4"/>
  <c r="AL136" i="4"/>
  <c r="BD141" i="4"/>
  <c r="J141" i="4"/>
  <c r="AO141" i="4"/>
  <c r="AO27" i="5"/>
  <c r="AP27" i="5"/>
  <c r="BD27" i="5"/>
  <c r="BJ27" i="5"/>
  <c r="AH27" i="5" s="1"/>
  <c r="AP93" i="4"/>
  <c r="AX93" i="4" s="1"/>
  <c r="J96" i="4"/>
  <c r="AL96" i="4" s="1"/>
  <c r="BH96" i="4"/>
  <c r="AB96" i="4" s="1"/>
  <c r="AO100" i="4"/>
  <c r="H100" i="4" s="1"/>
  <c r="H99" i="4" s="1"/>
  <c r="BJ106" i="4"/>
  <c r="H106" i="4"/>
  <c r="BJ113" i="4"/>
  <c r="Z113" i="4" s="1"/>
  <c r="H113" i="4"/>
  <c r="AO124" i="4"/>
  <c r="H124" i="4" s="1"/>
  <c r="H123" i="4" s="1"/>
  <c r="H122" i="4" s="1"/>
  <c r="BI131" i="4"/>
  <c r="AC131" i="4" s="1"/>
  <c r="BH131" i="4"/>
  <c r="AB131" i="4" s="1"/>
  <c r="AW131" i="4"/>
  <c r="I131" i="4"/>
  <c r="H131" i="4"/>
  <c r="BJ131" i="4"/>
  <c r="BC146" i="4"/>
  <c r="AO23" i="5"/>
  <c r="BD23" i="5"/>
  <c r="BJ23" i="5"/>
  <c r="AH23" i="5" s="1"/>
  <c r="AO34" i="5"/>
  <c r="BH34" i="5" s="1"/>
  <c r="AO58" i="5"/>
  <c r="H58" i="5" s="1"/>
  <c r="H57" i="5" s="1"/>
  <c r="AP58" i="5"/>
  <c r="BI58" i="5" s="1"/>
  <c r="AC58" i="5" s="1"/>
  <c r="BD58" i="5"/>
  <c r="BJ58" i="5"/>
  <c r="BH62" i="5"/>
  <c r="J37" i="4"/>
  <c r="AL37" i="4" s="1"/>
  <c r="AX37" i="4"/>
  <c r="AV37" i="4" s="1"/>
  <c r="BH37" i="4"/>
  <c r="AP38" i="4"/>
  <c r="I38" i="4" s="1"/>
  <c r="J44" i="4"/>
  <c r="AL44" i="4" s="1"/>
  <c r="AX44" i="4"/>
  <c r="AV44" i="4" s="1"/>
  <c r="BH44" i="4"/>
  <c r="AB44" i="4" s="1"/>
  <c r="AP45" i="4"/>
  <c r="I45" i="4" s="1"/>
  <c r="AP48" i="4"/>
  <c r="AX48" i="4" s="1"/>
  <c r="J50" i="4"/>
  <c r="AX50" i="4"/>
  <c r="BC50" i="4" s="1"/>
  <c r="BH50" i="4"/>
  <c r="AB50" i="4" s="1"/>
  <c r="AP51" i="4"/>
  <c r="AX51" i="4" s="1"/>
  <c r="J54" i="4"/>
  <c r="AL54" i="4" s="1"/>
  <c r="AX54" i="4"/>
  <c r="AV54" i="4" s="1"/>
  <c r="BH54" i="4"/>
  <c r="AB54" i="4" s="1"/>
  <c r="AP55" i="4"/>
  <c r="I55" i="4" s="1"/>
  <c r="AP64" i="4"/>
  <c r="I64" i="4" s="1"/>
  <c r="J67" i="4"/>
  <c r="AL67" i="4" s="1"/>
  <c r="AX67" i="4"/>
  <c r="AV67" i="4" s="1"/>
  <c r="BH67" i="4"/>
  <c r="AB67" i="4" s="1"/>
  <c r="AP68" i="4"/>
  <c r="BI68" i="4" s="1"/>
  <c r="AC68" i="4" s="1"/>
  <c r="J71" i="4"/>
  <c r="AL71" i="4" s="1"/>
  <c r="AX71" i="4"/>
  <c r="BC71" i="4" s="1"/>
  <c r="BH71" i="4"/>
  <c r="AB71" i="4" s="1"/>
  <c r="AP72" i="4"/>
  <c r="AX72" i="4" s="1"/>
  <c r="J74" i="4"/>
  <c r="AX74" i="4"/>
  <c r="BC74" i="4" s="1"/>
  <c r="BH74" i="4"/>
  <c r="J77" i="4"/>
  <c r="AX77" i="4"/>
  <c r="AV77" i="4" s="1"/>
  <c r="BH77" i="4"/>
  <c r="AB77" i="4" s="1"/>
  <c r="AP78" i="4"/>
  <c r="I78" i="4" s="1"/>
  <c r="J81" i="4"/>
  <c r="AL81" i="4" s="1"/>
  <c r="AX81" i="4"/>
  <c r="AV81" i="4" s="1"/>
  <c r="BH81" i="4"/>
  <c r="AB81" i="4" s="1"/>
  <c r="AP82" i="4"/>
  <c r="I82" i="4" s="1"/>
  <c r="J85" i="4"/>
  <c r="AL85" i="4" s="1"/>
  <c r="AX85" i="4"/>
  <c r="BC85" i="4" s="1"/>
  <c r="BH85" i="4"/>
  <c r="AB85" i="4" s="1"/>
  <c r="J91" i="4"/>
  <c r="AL91" i="4" s="1"/>
  <c r="AX91" i="4"/>
  <c r="BH91" i="4"/>
  <c r="AB91" i="4" s="1"/>
  <c r="AP92" i="4"/>
  <c r="I92" i="4" s="1"/>
  <c r="J95" i="4"/>
  <c r="AL95" i="4" s="1"/>
  <c r="AX95" i="4"/>
  <c r="AV95" i="4" s="1"/>
  <c r="BH95" i="4"/>
  <c r="AB95" i="4" s="1"/>
  <c r="AP96" i="4"/>
  <c r="I96" i="4" s="1"/>
  <c r="AP100" i="4"/>
  <c r="BI100" i="4" s="1"/>
  <c r="BI119" i="4"/>
  <c r="AC119" i="4" s="1"/>
  <c r="AP124" i="4"/>
  <c r="BI124" i="4" s="1"/>
  <c r="BJ130" i="4"/>
  <c r="H130" i="4"/>
  <c r="AX131" i="4"/>
  <c r="AW136" i="4"/>
  <c r="BJ136" i="4"/>
  <c r="BI136" i="4"/>
  <c r="AC136" i="4" s="1"/>
  <c r="AO138" i="4"/>
  <c r="BH138" i="4" s="1"/>
  <c r="AB138" i="4" s="1"/>
  <c r="BD138" i="4"/>
  <c r="AP138" i="4"/>
  <c r="AX138" i="4" s="1"/>
  <c r="BJ138" i="4"/>
  <c r="BJ143" i="4"/>
  <c r="Z143" i="4" s="1"/>
  <c r="H143" i="4"/>
  <c r="H142" i="4" s="1"/>
  <c r="BI143" i="4"/>
  <c r="AW143" i="4"/>
  <c r="J143" i="4"/>
  <c r="BH143" i="4"/>
  <c r="I143" i="4"/>
  <c r="I142" i="4" s="1"/>
  <c r="BJ18" i="5"/>
  <c r="H18" i="5"/>
  <c r="H16" i="5" s="1"/>
  <c r="H15" i="5" s="1"/>
  <c r="AW18" i="5"/>
  <c r="J18" i="5"/>
  <c r="AL18" i="5" s="1"/>
  <c r="BH18" i="5"/>
  <c r="AB18" i="5" s="1"/>
  <c r="AW22" i="5"/>
  <c r="BJ22" i="5"/>
  <c r="AH22" i="5" s="1"/>
  <c r="H22" i="5"/>
  <c r="BH22" i="5"/>
  <c r="J22" i="5"/>
  <c r="AL22" i="5" s="1"/>
  <c r="J34" i="5"/>
  <c r="AL34" i="5" s="1"/>
  <c r="AP34" i="5"/>
  <c r="AO35" i="5"/>
  <c r="AP35" i="5"/>
  <c r="BD35" i="5"/>
  <c r="BI45" i="5"/>
  <c r="BD61" i="5"/>
  <c r="AP61" i="5"/>
  <c r="AO61" i="5"/>
  <c r="AW61" i="5" s="1"/>
  <c r="J36" i="4"/>
  <c r="AL36" i="4" s="1"/>
  <c r="AX36" i="4"/>
  <c r="J43" i="4"/>
  <c r="AL43" i="4" s="1"/>
  <c r="AX43" i="4"/>
  <c r="BC43" i="4" s="1"/>
  <c r="J53" i="4"/>
  <c r="AL53" i="4" s="1"/>
  <c r="AX53" i="4"/>
  <c r="BC53" i="4" s="1"/>
  <c r="J57" i="4"/>
  <c r="AL57" i="4" s="1"/>
  <c r="AX57" i="4"/>
  <c r="BC57" i="4" s="1"/>
  <c r="J66" i="4"/>
  <c r="J70" i="4"/>
  <c r="AL70" i="4" s="1"/>
  <c r="AX70" i="4"/>
  <c r="AV70" i="4" s="1"/>
  <c r="J80" i="4"/>
  <c r="AL80" i="4" s="1"/>
  <c r="AX80" i="4"/>
  <c r="J84" i="4"/>
  <c r="AL84" i="4" s="1"/>
  <c r="AX84" i="4"/>
  <c r="BC84" i="4" s="1"/>
  <c r="J87" i="4"/>
  <c r="AX87" i="4"/>
  <c r="J90" i="4"/>
  <c r="AX90" i="4"/>
  <c r="J94" i="4"/>
  <c r="AL94" i="4" s="1"/>
  <c r="AX94" i="4"/>
  <c r="H96" i="4"/>
  <c r="AO97" i="4"/>
  <c r="BH97" i="4" s="1"/>
  <c r="AB97" i="4" s="1"/>
  <c r="AO103" i="4"/>
  <c r="H103" i="4" s="1"/>
  <c r="BI104" i="4"/>
  <c r="AC104" i="4" s="1"/>
  <c r="BH106" i="4"/>
  <c r="AB106" i="4" s="1"/>
  <c r="AO108" i="4"/>
  <c r="H108" i="4" s="1"/>
  <c r="BI110" i="4"/>
  <c r="AC110" i="4" s="1"/>
  <c r="I113" i="4"/>
  <c r="BH113" i="4"/>
  <c r="I118" i="4"/>
  <c r="BJ118" i="4"/>
  <c r="BJ119" i="4"/>
  <c r="AW121" i="4"/>
  <c r="I121" i="4"/>
  <c r="I120" i="4" s="1"/>
  <c r="BJ121" i="4"/>
  <c r="Z121" i="4" s="1"/>
  <c r="H121" i="4"/>
  <c r="H120" i="4" s="1"/>
  <c r="AO127" i="4"/>
  <c r="H127" i="4" s="1"/>
  <c r="H126" i="4" s="1"/>
  <c r="BI128" i="4"/>
  <c r="AC128" i="4" s="1"/>
  <c r="J131" i="4"/>
  <c r="AL131" i="4" s="1"/>
  <c r="AS135" i="4"/>
  <c r="AX143" i="4"/>
  <c r="BI146" i="4"/>
  <c r="BJ21" i="5"/>
  <c r="AH21" i="5" s="1"/>
  <c r="H21" i="5"/>
  <c r="BH21" i="5"/>
  <c r="J21" i="5"/>
  <c r="I21" i="5"/>
  <c r="AW21" i="5"/>
  <c r="BD22" i="5"/>
  <c r="AP22" i="5"/>
  <c r="BI22" i="5" s="1"/>
  <c r="AP23" i="5"/>
  <c r="AO26" i="5"/>
  <c r="BH26" i="5" s="1"/>
  <c r="AO72" i="5"/>
  <c r="H72" i="5" s="1"/>
  <c r="AP72" i="5"/>
  <c r="BD72" i="5"/>
  <c r="BJ72" i="5"/>
  <c r="AH72" i="5" s="1"/>
  <c r="I98" i="4"/>
  <c r="AW98" i="4"/>
  <c r="AW104" i="4"/>
  <c r="J105" i="4"/>
  <c r="AL105" i="4" s="1"/>
  <c r="AO105" i="4"/>
  <c r="AX105" i="4"/>
  <c r="BH105" i="4"/>
  <c r="AB105" i="4" s="1"/>
  <c r="AP106" i="4"/>
  <c r="I106" i="4" s="1"/>
  <c r="AW110" i="4"/>
  <c r="J112" i="4"/>
  <c r="AL112" i="4" s="1"/>
  <c r="AO112" i="4"/>
  <c r="AX112" i="4"/>
  <c r="AP113" i="4"/>
  <c r="BI113" i="4" s="1"/>
  <c r="J116" i="4"/>
  <c r="AO116" i="4"/>
  <c r="AX116" i="4"/>
  <c r="AP117" i="4"/>
  <c r="AX117" i="4" s="1"/>
  <c r="AW119" i="4"/>
  <c r="J129" i="4"/>
  <c r="AL129" i="4" s="1"/>
  <c r="AX129" i="4"/>
  <c r="AV129" i="4" s="1"/>
  <c r="BH129" i="4"/>
  <c r="AB129" i="4" s="1"/>
  <c r="AP130" i="4"/>
  <c r="I130" i="4" s="1"/>
  <c r="AO136" i="4"/>
  <c r="BH136" i="4" s="1"/>
  <c r="AB136" i="4" s="1"/>
  <c r="BC36" i="5"/>
  <c r="BJ37" i="5"/>
  <c r="AH37" i="5" s="1"/>
  <c r="H37" i="5"/>
  <c r="AW37" i="5"/>
  <c r="I38" i="5"/>
  <c r="BJ38" i="5"/>
  <c r="AH38" i="5" s="1"/>
  <c r="H38" i="5"/>
  <c r="BJ44" i="5"/>
  <c r="AH44" i="5" s="1"/>
  <c r="H44" i="5"/>
  <c r="AS42" i="5"/>
  <c r="AW44" i="5"/>
  <c r="I45" i="5"/>
  <c r="BJ45" i="5"/>
  <c r="AH45" i="5" s="1"/>
  <c r="AO55" i="5"/>
  <c r="H55" i="5" s="1"/>
  <c r="BD55" i="5"/>
  <c r="BJ55" i="5"/>
  <c r="AH55" i="5" s="1"/>
  <c r="AO62" i="5"/>
  <c r="H62" i="5" s="1"/>
  <c r="BD62" i="5"/>
  <c r="BJ62" i="5"/>
  <c r="AH62" i="5" s="1"/>
  <c r="AW80" i="5"/>
  <c r="I80" i="5"/>
  <c r="BJ80" i="5"/>
  <c r="AH80" i="5" s="1"/>
  <c r="H80" i="5"/>
  <c r="AX80" i="5"/>
  <c r="BH80" i="5"/>
  <c r="J80" i="5"/>
  <c r="AL80" i="5" s="1"/>
  <c r="J98" i="4"/>
  <c r="AL98" i="4" s="1"/>
  <c r="AX98" i="4"/>
  <c r="J104" i="4"/>
  <c r="AL104" i="4" s="1"/>
  <c r="AX104" i="4"/>
  <c r="J110" i="4"/>
  <c r="AL110" i="4" s="1"/>
  <c r="AX110" i="4"/>
  <c r="J119" i="4"/>
  <c r="AL119" i="4" s="1"/>
  <c r="AX119" i="4"/>
  <c r="J128" i="4"/>
  <c r="AL128" i="4" s="1"/>
  <c r="AX128" i="4"/>
  <c r="BC128" i="4" s="1"/>
  <c r="AP136" i="4"/>
  <c r="I136" i="4" s="1"/>
  <c r="AW141" i="4"/>
  <c r="I141" i="4"/>
  <c r="I140" i="4" s="1"/>
  <c r="BJ141" i="4"/>
  <c r="BI17" i="5"/>
  <c r="AC17" i="5" s="1"/>
  <c r="AS20" i="5"/>
  <c r="BI24" i="5"/>
  <c r="BJ25" i="5"/>
  <c r="AH25" i="5" s="1"/>
  <c r="H25" i="5"/>
  <c r="AW25" i="5"/>
  <c r="AW26" i="5"/>
  <c r="I26" i="5"/>
  <c r="BJ26" i="5"/>
  <c r="AH26" i="5" s="1"/>
  <c r="H26" i="5"/>
  <c r="BH27" i="5"/>
  <c r="BI32" i="5"/>
  <c r="BJ33" i="5"/>
  <c r="AH33" i="5" s="1"/>
  <c r="H33" i="5"/>
  <c r="AS31" i="5"/>
  <c r="AW33" i="5"/>
  <c r="AW34" i="5"/>
  <c r="I34" i="5"/>
  <c r="BJ34" i="5"/>
  <c r="AH34" i="5" s="1"/>
  <c r="H34" i="5"/>
  <c r="AO38" i="5"/>
  <c r="BH38" i="5" s="1"/>
  <c r="BI39" i="5"/>
  <c r="AO45" i="5"/>
  <c r="BH45" i="5" s="1"/>
  <c r="BD46" i="5"/>
  <c r="AO46" i="5"/>
  <c r="I54" i="5"/>
  <c r="BJ54" i="5"/>
  <c r="AH54" i="5" s="1"/>
  <c r="H54" i="5"/>
  <c r="BI54" i="5"/>
  <c r="AX54" i="5"/>
  <c r="J54" i="5"/>
  <c r="AL54" i="5" s="1"/>
  <c r="I61" i="5"/>
  <c r="BJ61" i="5"/>
  <c r="AH61" i="5" s="1"/>
  <c r="H61" i="5"/>
  <c r="BI61" i="5"/>
  <c r="AX61" i="5"/>
  <c r="J61" i="5"/>
  <c r="AO70" i="5"/>
  <c r="BH70" i="5" s="1"/>
  <c r="BJ78" i="5"/>
  <c r="AH78" i="5" s="1"/>
  <c r="H78" i="5"/>
  <c r="BI78" i="5"/>
  <c r="BH78" i="5"/>
  <c r="J78" i="5"/>
  <c r="AL78" i="5" s="1"/>
  <c r="AW78" i="5"/>
  <c r="BD80" i="5"/>
  <c r="AP80" i="5"/>
  <c r="BI80" i="5" s="1"/>
  <c r="AP143" i="4"/>
  <c r="J146" i="4"/>
  <c r="AX146" i="4"/>
  <c r="AV146" i="4" s="1"/>
  <c r="BH146" i="4"/>
  <c r="J14" i="5"/>
  <c r="AX14" i="5"/>
  <c r="AV14" i="5" s="1"/>
  <c r="BH14" i="5"/>
  <c r="J17" i="5"/>
  <c r="AX17" i="5"/>
  <c r="BC17" i="5" s="1"/>
  <c r="BH17" i="5"/>
  <c r="AB17" i="5" s="1"/>
  <c r="AP18" i="5"/>
  <c r="BI18" i="5" s="1"/>
  <c r="AC18" i="5" s="1"/>
  <c r="AP21" i="5"/>
  <c r="AX21" i="5" s="1"/>
  <c r="J24" i="5"/>
  <c r="AL24" i="5" s="1"/>
  <c r="AX24" i="5"/>
  <c r="AV24" i="5" s="1"/>
  <c r="BH24" i="5"/>
  <c r="AP25" i="5"/>
  <c r="BI25" i="5" s="1"/>
  <c r="J28" i="5"/>
  <c r="AL28" i="5" s="1"/>
  <c r="AX28" i="5"/>
  <c r="AV28" i="5" s="1"/>
  <c r="BH28" i="5"/>
  <c r="J32" i="5"/>
  <c r="AX32" i="5"/>
  <c r="AV32" i="5" s="1"/>
  <c r="BH32" i="5"/>
  <c r="AP33" i="5"/>
  <c r="BI33" i="5" s="1"/>
  <c r="J36" i="5"/>
  <c r="AL36" i="5" s="1"/>
  <c r="AX36" i="5"/>
  <c r="AV36" i="5" s="1"/>
  <c r="BH36" i="5"/>
  <c r="AP37" i="5"/>
  <c r="I37" i="5" s="1"/>
  <c r="J40" i="5"/>
  <c r="AL40" i="5" s="1"/>
  <c r="AX40" i="5"/>
  <c r="AV40" i="5" s="1"/>
  <c r="BH40" i="5"/>
  <c r="J43" i="5"/>
  <c r="AX43" i="5"/>
  <c r="AV43" i="5" s="1"/>
  <c r="BH43" i="5"/>
  <c r="AP44" i="5"/>
  <c r="I44" i="5" s="1"/>
  <c r="I42" i="5" s="1"/>
  <c r="I41" i="5" s="1"/>
  <c r="I47" i="5"/>
  <c r="BJ47" i="5"/>
  <c r="AH47" i="5" s="1"/>
  <c r="H47" i="5"/>
  <c r="BJ64" i="5"/>
  <c r="AH64" i="5" s="1"/>
  <c r="H64" i="5"/>
  <c r="AW64" i="5"/>
  <c r="AS67" i="5"/>
  <c r="J133" i="4"/>
  <c r="AX133" i="4"/>
  <c r="BC133" i="4" s="1"/>
  <c r="J138" i="4"/>
  <c r="AL138" i="4" s="1"/>
  <c r="J23" i="5"/>
  <c r="AL23" i="5" s="1"/>
  <c r="AX23" i="5"/>
  <c r="J27" i="5"/>
  <c r="AL27" i="5" s="1"/>
  <c r="AX27" i="5"/>
  <c r="J35" i="5"/>
  <c r="AL35" i="5" s="1"/>
  <c r="AX35" i="5"/>
  <c r="J39" i="5"/>
  <c r="AL39" i="5" s="1"/>
  <c r="AX39" i="5"/>
  <c r="BC39" i="5" s="1"/>
  <c r="BJ46" i="5"/>
  <c r="AH46" i="5" s="1"/>
  <c r="BI46" i="5"/>
  <c r="J46" i="5"/>
  <c r="AL46" i="5" s="1"/>
  <c r="AX46" i="5"/>
  <c r="AO47" i="5"/>
  <c r="BH47" i="5" s="1"/>
  <c r="AS51" i="5"/>
  <c r="BI63" i="5"/>
  <c r="BJ68" i="5"/>
  <c r="AH68" i="5" s="1"/>
  <c r="H68" i="5"/>
  <c r="AW68" i="5"/>
  <c r="AW70" i="5"/>
  <c r="I70" i="5"/>
  <c r="BJ70" i="5"/>
  <c r="AH70" i="5" s="1"/>
  <c r="H70" i="5"/>
  <c r="BH72" i="5"/>
  <c r="BI76" i="5"/>
  <c r="I48" i="5"/>
  <c r="AW48" i="5"/>
  <c r="J49" i="5"/>
  <c r="AL49" i="5" s="1"/>
  <c r="AO49" i="5"/>
  <c r="AX49" i="5"/>
  <c r="BH49" i="5"/>
  <c r="J52" i="5"/>
  <c r="AO52" i="5"/>
  <c r="AX52" i="5"/>
  <c r="BH52" i="5"/>
  <c r="AP53" i="5"/>
  <c r="BI53" i="5" s="1"/>
  <c r="I55" i="5"/>
  <c r="I58" i="5"/>
  <c r="I57" i="5" s="1"/>
  <c r="AW58" i="5"/>
  <c r="I62" i="5"/>
  <c r="AW62" i="5"/>
  <c r="J63" i="5"/>
  <c r="AL63" i="5" s="1"/>
  <c r="AO63" i="5"/>
  <c r="AX63" i="5"/>
  <c r="AP64" i="5"/>
  <c r="I64" i="5" s="1"/>
  <c r="AP68" i="5"/>
  <c r="AW72" i="5"/>
  <c r="AW76" i="5"/>
  <c r="J77" i="5"/>
  <c r="AL77" i="5" s="1"/>
  <c r="AO77" i="5"/>
  <c r="BH77" i="5" s="1"/>
  <c r="AX77" i="5"/>
  <c r="AP78" i="5"/>
  <c r="AX78" i="5" s="1"/>
  <c r="J48" i="5"/>
  <c r="AL48" i="5" s="1"/>
  <c r="AX48" i="5"/>
  <c r="J55" i="5"/>
  <c r="AL55" i="5" s="1"/>
  <c r="AX55" i="5"/>
  <c r="J58" i="5"/>
  <c r="AX58" i="5"/>
  <c r="J62" i="5"/>
  <c r="AL62" i="5" s="1"/>
  <c r="AX62" i="5"/>
  <c r="J72" i="5"/>
  <c r="AL72" i="5" s="1"/>
  <c r="AU67" i="5" s="1"/>
  <c r="AX72" i="5"/>
  <c r="J76" i="5"/>
  <c r="AX76" i="5"/>
  <c r="H50" i="3" l="1"/>
  <c r="H12" i="3"/>
  <c r="AV61" i="5"/>
  <c r="BC61" i="5"/>
  <c r="H76" i="4"/>
  <c r="H75" i="4" s="1"/>
  <c r="AV54" i="5"/>
  <c r="BC54" i="5"/>
  <c r="BC39" i="4"/>
  <c r="AV23" i="4"/>
  <c r="BC23" i="4"/>
  <c r="J57" i="5"/>
  <c r="J56" i="5" s="1"/>
  <c r="AL58" i="5"/>
  <c r="AU57" i="5" s="1"/>
  <c r="AW63" i="5"/>
  <c r="H63" i="5"/>
  <c r="AL61" i="5"/>
  <c r="AU60" i="5" s="1"/>
  <c r="J60" i="5"/>
  <c r="BI44" i="5"/>
  <c r="BC119" i="4"/>
  <c r="AV119" i="4"/>
  <c r="AW35" i="5"/>
  <c r="H35" i="5"/>
  <c r="H31" i="5" s="1"/>
  <c r="H30" i="5" s="1"/>
  <c r="AL141" i="4"/>
  <c r="AU140" i="4" s="1"/>
  <c r="J140" i="4"/>
  <c r="BH124" i="4"/>
  <c r="I53" i="5"/>
  <c r="I51" i="5" s="1"/>
  <c r="I50" i="5" s="1"/>
  <c r="BC69" i="4"/>
  <c r="AW127" i="4"/>
  <c r="I102" i="4"/>
  <c r="AV79" i="4"/>
  <c r="BC79" i="4"/>
  <c r="AW80" i="4"/>
  <c r="H80" i="4"/>
  <c r="AV48" i="4"/>
  <c r="BC48" i="4"/>
  <c r="AV65" i="3"/>
  <c r="BC65" i="3"/>
  <c r="I66" i="4"/>
  <c r="BI66" i="4"/>
  <c r="AC66" i="4" s="1"/>
  <c r="AV140" i="3"/>
  <c r="BC140" i="3"/>
  <c r="I100" i="3"/>
  <c r="I99" i="3" s="1"/>
  <c r="I56" i="5"/>
  <c r="AV48" i="5"/>
  <c r="BC48" i="5"/>
  <c r="AX64" i="5"/>
  <c r="AV64" i="5" s="1"/>
  <c r="J132" i="4"/>
  <c r="AL133" i="4"/>
  <c r="AU132" i="4" s="1"/>
  <c r="BI64" i="5"/>
  <c r="J13" i="5"/>
  <c r="AL14" i="5"/>
  <c r="AU13" i="5" s="1"/>
  <c r="I78" i="5"/>
  <c r="I75" i="5" s="1"/>
  <c r="I74" i="5" s="1"/>
  <c r="BH61" i="5"/>
  <c r="BH54" i="5"/>
  <c r="BC32" i="5"/>
  <c r="AV80" i="5"/>
  <c r="BC80" i="5"/>
  <c r="AW45" i="5"/>
  <c r="BI37" i="5"/>
  <c r="BC28" i="5"/>
  <c r="J115" i="4"/>
  <c r="AL116" i="4"/>
  <c r="AU115" i="4" s="1"/>
  <c r="H112" i="4"/>
  <c r="AW112" i="4"/>
  <c r="AV104" i="4"/>
  <c r="BC104" i="4"/>
  <c r="AL21" i="5"/>
  <c r="AU20" i="5" s="1"/>
  <c r="J20" i="5"/>
  <c r="J19" i="5" s="1"/>
  <c r="AX66" i="4"/>
  <c r="AV36" i="4"/>
  <c r="BC36" i="4"/>
  <c r="AV39" i="5"/>
  <c r="BI34" i="5"/>
  <c r="AX34" i="5"/>
  <c r="BC34" i="5" s="1"/>
  <c r="AX22" i="5"/>
  <c r="I22" i="5"/>
  <c r="I20" i="5" s="1"/>
  <c r="I19" i="5" s="1"/>
  <c r="H136" i="4"/>
  <c r="H135" i="4" s="1"/>
  <c r="H125" i="4" s="1"/>
  <c r="AV133" i="4"/>
  <c r="J73" i="4"/>
  <c r="AL74" i="4"/>
  <c r="AU73" i="4" s="1"/>
  <c r="BC40" i="5"/>
  <c r="AW23" i="5"/>
  <c r="H23" i="5"/>
  <c r="BC131" i="4"/>
  <c r="AV131" i="4"/>
  <c r="AX113" i="4"/>
  <c r="AX106" i="4"/>
  <c r="I27" i="5"/>
  <c r="BI27" i="5"/>
  <c r="AX124" i="4"/>
  <c r="I124" i="4"/>
  <c r="I123" i="4" s="1"/>
  <c r="I122" i="4" s="1"/>
  <c r="BI118" i="4"/>
  <c r="AC118" i="4" s="1"/>
  <c r="AX118" i="4"/>
  <c r="AX100" i="4"/>
  <c r="I100" i="4"/>
  <c r="I99" i="4" s="1"/>
  <c r="H97" i="4"/>
  <c r="BC95" i="4"/>
  <c r="BI92" i="4"/>
  <c r="AC92" i="4" s="1"/>
  <c r="AX82" i="4"/>
  <c r="BC81" i="4"/>
  <c r="BI78" i="4"/>
  <c r="AC78" i="4" s="1"/>
  <c r="AX45" i="4"/>
  <c r="BC45" i="4" s="1"/>
  <c r="BC44" i="4"/>
  <c r="I36" i="4"/>
  <c r="I33" i="4" s="1"/>
  <c r="BI36" i="4"/>
  <c r="AW27" i="4"/>
  <c r="H27" i="4"/>
  <c r="H26" i="4" s="1"/>
  <c r="AW21" i="4"/>
  <c r="H21" i="4"/>
  <c r="AW17" i="4"/>
  <c r="J13" i="4"/>
  <c r="AL14" i="4"/>
  <c r="AU13" i="4" s="1"/>
  <c r="BH127" i="4"/>
  <c r="AB127" i="4" s="1"/>
  <c r="I117" i="4"/>
  <c r="I115" i="4" s="1"/>
  <c r="BI117" i="4"/>
  <c r="AC117" i="4" s="1"/>
  <c r="AL103" i="4"/>
  <c r="AU102" i="4" s="1"/>
  <c r="J102" i="4"/>
  <c r="AW103" i="4"/>
  <c r="AV65" i="4"/>
  <c r="BC65" i="4"/>
  <c r="AX55" i="4"/>
  <c r="BC54" i="4"/>
  <c r="BI38" i="4"/>
  <c r="H33" i="4"/>
  <c r="H23" i="4"/>
  <c r="H22" i="4" s="1"/>
  <c r="BC68" i="4"/>
  <c r="AV59" i="4"/>
  <c r="BC59" i="4"/>
  <c r="AW35" i="4"/>
  <c r="I48" i="4"/>
  <c r="I47" i="4" s="1"/>
  <c r="BI48" i="4"/>
  <c r="AC48" i="4" s="1"/>
  <c r="BH39" i="4"/>
  <c r="BC32" i="4"/>
  <c r="BC25" i="4"/>
  <c r="BH17" i="4"/>
  <c r="AB17" i="4" s="1"/>
  <c r="AV161" i="3"/>
  <c r="BC161" i="3"/>
  <c r="AV92" i="3"/>
  <c r="BC92" i="3"/>
  <c r="AV59" i="3"/>
  <c r="BC59" i="3"/>
  <c r="AV52" i="3"/>
  <c r="BC52" i="3"/>
  <c r="AW94" i="4"/>
  <c r="H94" i="4"/>
  <c r="AV85" i="4"/>
  <c r="AW66" i="4"/>
  <c r="H66" i="4"/>
  <c r="H63" i="4" s="1"/>
  <c r="H60" i="4" s="1"/>
  <c r="BH23" i="4"/>
  <c r="AB23" i="4" s="1"/>
  <c r="I178" i="3"/>
  <c r="AV83" i="3"/>
  <c r="BC83" i="3"/>
  <c r="AW87" i="4"/>
  <c r="H87" i="4"/>
  <c r="H86" i="4" s="1"/>
  <c r="BC114" i="3"/>
  <c r="BC58" i="3"/>
  <c r="BC180" i="3"/>
  <c r="AV132" i="3"/>
  <c r="BC132" i="3"/>
  <c r="AV102" i="3"/>
  <c r="BC102" i="3"/>
  <c r="AV93" i="3"/>
  <c r="BC93" i="3"/>
  <c r="AV66" i="3"/>
  <c r="BC66" i="3"/>
  <c r="AV56" i="3"/>
  <c r="BC56" i="3"/>
  <c r="H74" i="3"/>
  <c r="C15" i="1"/>
  <c r="C22" i="1" s="1"/>
  <c r="AV53" i="4"/>
  <c r="AV176" i="3"/>
  <c r="BC176" i="3"/>
  <c r="AV145" i="3"/>
  <c r="BC145" i="3"/>
  <c r="AV135" i="3"/>
  <c r="BC135" i="3"/>
  <c r="AV124" i="3"/>
  <c r="BC124" i="3"/>
  <c r="J99" i="3"/>
  <c r="BC85" i="3"/>
  <c r="BC72" i="3"/>
  <c r="BC68" i="3"/>
  <c r="I50" i="3"/>
  <c r="BC23" i="3"/>
  <c r="AV23" i="3"/>
  <c r="BC17" i="3"/>
  <c r="AV17" i="3"/>
  <c r="J207" i="3"/>
  <c r="J12" i="3"/>
  <c r="I68" i="5"/>
  <c r="AX68" i="5"/>
  <c r="AV68" i="5" s="1"/>
  <c r="AV78" i="5"/>
  <c r="BC78" i="5"/>
  <c r="BC24" i="5"/>
  <c r="H116" i="4"/>
  <c r="H115" i="4" s="1"/>
  <c r="AW116" i="4"/>
  <c r="BH55" i="5"/>
  <c r="J89" i="4"/>
  <c r="AL90" i="4"/>
  <c r="AU89" i="4" s="1"/>
  <c r="AV97" i="4"/>
  <c r="BC97" i="4"/>
  <c r="BI69" i="4"/>
  <c r="AC69" i="4" s="1"/>
  <c r="AX69" i="4"/>
  <c r="AV69" i="4" s="1"/>
  <c r="J60" i="4"/>
  <c r="AV34" i="4"/>
  <c r="BC34" i="4"/>
  <c r="AW24" i="4"/>
  <c r="H24" i="4"/>
  <c r="AW14" i="4"/>
  <c r="H14" i="4"/>
  <c r="H13" i="4" s="1"/>
  <c r="AL127" i="4"/>
  <c r="AU126" i="4" s="1"/>
  <c r="J126" i="4"/>
  <c r="AX38" i="4"/>
  <c r="AW90" i="4"/>
  <c r="H90" i="4"/>
  <c r="AV174" i="3"/>
  <c r="BC174" i="3"/>
  <c r="AV86" i="3"/>
  <c r="BC86" i="3"/>
  <c r="BC196" i="3"/>
  <c r="AV196" i="3"/>
  <c r="AV134" i="3"/>
  <c r="BC134" i="3"/>
  <c r="AV128" i="3"/>
  <c r="BC128" i="3"/>
  <c r="H120" i="3"/>
  <c r="AV78" i="4"/>
  <c r="BC78" i="4"/>
  <c r="I168" i="3"/>
  <c r="AV119" i="3"/>
  <c r="BC119" i="3"/>
  <c r="BH63" i="5"/>
  <c r="BC62" i="5"/>
  <c r="AV62" i="5"/>
  <c r="BI68" i="5"/>
  <c r="J31" i="5"/>
  <c r="J30" i="5" s="1"/>
  <c r="AL32" i="5"/>
  <c r="AU31" i="5" s="1"/>
  <c r="I25" i="5"/>
  <c r="AX25" i="5"/>
  <c r="AV25" i="5" s="1"/>
  <c r="J16" i="5"/>
  <c r="J15" i="5" s="1"/>
  <c r="AL17" i="5"/>
  <c r="AU16" i="5" s="1"/>
  <c r="I60" i="5"/>
  <c r="AX37" i="5"/>
  <c r="AV37" i="5" s="1"/>
  <c r="AV141" i="4"/>
  <c r="BC141" i="4"/>
  <c r="H45" i="5"/>
  <c r="AV44" i="5"/>
  <c r="BC44" i="5"/>
  <c r="BC14" i="5"/>
  <c r="BH116" i="4"/>
  <c r="AB116" i="4" s="1"/>
  <c r="AV98" i="4"/>
  <c r="BC98" i="4"/>
  <c r="I72" i="5"/>
  <c r="BI72" i="5"/>
  <c r="AX18" i="5"/>
  <c r="BC18" i="5" s="1"/>
  <c r="BH118" i="4"/>
  <c r="AB118" i="4" s="1"/>
  <c r="AW118" i="4"/>
  <c r="J86" i="4"/>
  <c r="AL87" i="4"/>
  <c r="AU86" i="4" s="1"/>
  <c r="AL66" i="4"/>
  <c r="AU63" i="4" s="1"/>
  <c r="J63" i="4"/>
  <c r="AV22" i="5"/>
  <c r="BC22" i="5"/>
  <c r="AV18" i="5"/>
  <c r="AV17" i="5"/>
  <c r="J142" i="4"/>
  <c r="AL143" i="4"/>
  <c r="AU142" i="4" s="1"/>
  <c r="H138" i="4"/>
  <c r="AW138" i="4"/>
  <c r="J76" i="4"/>
  <c r="J75" i="4" s="1"/>
  <c r="AL77" i="4"/>
  <c r="AU76" i="4" s="1"/>
  <c r="J49" i="4"/>
  <c r="AL50" i="4"/>
  <c r="AU49" i="4" s="1"/>
  <c r="BI106" i="4"/>
  <c r="AC106" i="4" s="1"/>
  <c r="AW27" i="5"/>
  <c r="H27" i="5"/>
  <c r="H20" i="5" s="1"/>
  <c r="H19" i="5" s="1"/>
  <c r="J135" i="4"/>
  <c r="AV128" i="4"/>
  <c r="AW124" i="4"/>
  <c r="AW108" i="4"/>
  <c r="AW100" i="4"/>
  <c r="BI82" i="4"/>
  <c r="AC82" i="4" s="1"/>
  <c r="BH80" i="4"/>
  <c r="AB80" i="4" s="1"/>
  <c r="AX23" i="4"/>
  <c r="AV53" i="5"/>
  <c r="BC53" i="5"/>
  <c r="AX64" i="4"/>
  <c r="I57" i="4"/>
  <c r="BI57" i="4"/>
  <c r="AC57" i="4" s="1"/>
  <c r="BI45" i="4"/>
  <c r="I43" i="4"/>
  <c r="I41" i="4" s="1"/>
  <c r="I40" i="4" s="1"/>
  <c r="BI43" i="4"/>
  <c r="AC43" i="4" s="1"/>
  <c r="AW30" i="4"/>
  <c r="H30" i="4"/>
  <c r="H29" i="4" s="1"/>
  <c r="J26" i="4"/>
  <c r="AL27" i="4"/>
  <c r="AU26" i="4" s="1"/>
  <c r="BC205" i="3"/>
  <c r="AV205" i="3"/>
  <c r="BH103" i="4"/>
  <c r="AB103" i="4" s="1"/>
  <c r="AV62" i="4"/>
  <c r="BC62" i="4"/>
  <c r="BI55" i="4"/>
  <c r="AC55" i="4" s="1"/>
  <c r="AV74" i="4"/>
  <c r="AL59" i="4"/>
  <c r="AU58" i="4" s="1"/>
  <c r="J58" i="4"/>
  <c r="H59" i="4"/>
  <c r="H58" i="4" s="1"/>
  <c r="J33" i="4"/>
  <c r="AL19" i="4"/>
  <c r="AU18" i="4" s="1"/>
  <c r="J18" i="4"/>
  <c r="AV16" i="4"/>
  <c r="BC16" i="4"/>
  <c r="AX39" i="4"/>
  <c r="AV39" i="4" s="1"/>
  <c r="I39" i="4"/>
  <c r="AV181" i="3"/>
  <c r="BC181" i="3"/>
  <c r="AV170" i="3"/>
  <c r="BC170" i="3"/>
  <c r="AV154" i="3"/>
  <c r="BC154" i="3"/>
  <c r="AV109" i="3"/>
  <c r="BC109" i="3"/>
  <c r="AV101" i="3"/>
  <c r="BC101" i="3"/>
  <c r="AV82" i="3"/>
  <c r="BC82" i="3"/>
  <c r="AV69" i="3"/>
  <c r="BC69" i="3"/>
  <c r="I94" i="4"/>
  <c r="BI94" i="4"/>
  <c r="AC94" i="4" s="1"/>
  <c r="AV72" i="4"/>
  <c r="BC72" i="4"/>
  <c r="AV71" i="4"/>
  <c r="AV57" i="4"/>
  <c r="AV51" i="4"/>
  <c r="BC51" i="4"/>
  <c r="AV50" i="4"/>
  <c r="AX19" i="4"/>
  <c r="AV19" i="4" s="1"/>
  <c r="I19" i="4"/>
  <c r="I18" i="4" s="1"/>
  <c r="AL121" i="4"/>
  <c r="AU120" i="4" s="1"/>
  <c r="J120" i="4"/>
  <c r="BH21" i="4"/>
  <c r="BC149" i="3"/>
  <c r="AV129" i="3"/>
  <c r="BC129" i="3"/>
  <c r="BC111" i="3"/>
  <c r="I87" i="4"/>
  <c r="I86" i="4" s="1"/>
  <c r="BI87" i="4"/>
  <c r="AL42" i="4"/>
  <c r="AU41" i="4" s="1"/>
  <c r="J41" i="4"/>
  <c r="J40" i="4" s="1"/>
  <c r="AV42" i="4"/>
  <c r="BC42" i="4"/>
  <c r="BC137" i="3"/>
  <c r="BC104" i="3"/>
  <c r="BC54" i="3"/>
  <c r="I12" i="3"/>
  <c r="AV76" i="3"/>
  <c r="BC76" i="3"/>
  <c r="AV116" i="3"/>
  <c r="BC116" i="3"/>
  <c r="BC95" i="3"/>
  <c r="BC91" i="3"/>
  <c r="BC81" i="3"/>
  <c r="BC20" i="3"/>
  <c r="AV20" i="3"/>
  <c r="AV19" i="3"/>
  <c r="C29" i="1"/>
  <c r="H77" i="5"/>
  <c r="H75" i="5" s="1"/>
  <c r="H74" i="5" s="1"/>
  <c r="AW77" i="5"/>
  <c r="BC58" i="5"/>
  <c r="AV58" i="5"/>
  <c r="J51" i="5"/>
  <c r="J50" i="5" s="1"/>
  <c r="AL52" i="5"/>
  <c r="AU51" i="5" s="1"/>
  <c r="AV70" i="5"/>
  <c r="BC70" i="5"/>
  <c r="J145" i="4"/>
  <c r="AL146" i="4"/>
  <c r="AU145" i="4" s="1"/>
  <c r="H60" i="5"/>
  <c r="H56" i="5" s="1"/>
  <c r="AW46" i="5"/>
  <c r="BH46" i="5"/>
  <c r="H46" i="5"/>
  <c r="I23" i="5"/>
  <c r="BI23" i="5"/>
  <c r="I138" i="4"/>
  <c r="I135" i="4" s="1"/>
  <c r="BI138" i="4"/>
  <c r="AC138" i="4" s="1"/>
  <c r="BI130" i="4"/>
  <c r="AC130" i="4" s="1"/>
  <c r="BC67" i="4"/>
  <c r="AV117" i="4"/>
  <c r="BC117" i="4"/>
  <c r="AV93" i="4"/>
  <c r="BC93" i="4"/>
  <c r="BI52" i="4"/>
  <c r="AC52" i="4" s="1"/>
  <c r="AX52" i="4"/>
  <c r="AV56" i="4"/>
  <c r="BC56" i="4"/>
  <c r="AV150" i="3"/>
  <c r="BC150" i="3"/>
  <c r="AV105" i="3"/>
  <c r="BC105" i="3"/>
  <c r="AV78" i="3"/>
  <c r="BC78" i="3"/>
  <c r="H49" i="4"/>
  <c r="H46" i="4" s="1"/>
  <c r="H18" i="4"/>
  <c r="J75" i="5"/>
  <c r="J74" i="5" s="1"/>
  <c r="AL76" i="5"/>
  <c r="AU75" i="5" s="1"/>
  <c r="AV76" i="5"/>
  <c r="BC76" i="5"/>
  <c r="AW55" i="5"/>
  <c r="AV72" i="5"/>
  <c r="BC72" i="5"/>
  <c r="H52" i="5"/>
  <c r="H51" i="5" s="1"/>
  <c r="H50" i="5" s="1"/>
  <c r="AW52" i="5"/>
  <c r="H49" i="5"/>
  <c r="AW49" i="5"/>
  <c r="H67" i="5"/>
  <c r="H66" i="5" s="1"/>
  <c r="BH58" i="5"/>
  <c r="AB58" i="5" s="1"/>
  <c r="AW47" i="5"/>
  <c r="J42" i="5"/>
  <c r="J41" i="5" s="1"/>
  <c r="AL43" i="5"/>
  <c r="AU42" i="5" s="1"/>
  <c r="AX33" i="5"/>
  <c r="BC33" i="5" s="1"/>
  <c r="I33" i="5"/>
  <c r="AX44" i="5"/>
  <c r="BH35" i="5"/>
  <c r="AV34" i="5"/>
  <c r="AV26" i="5"/>
  <c r="BC26" i="5"/>
  <c r="BC43" i="5"/>
  <c r="AW38" i="5"/>
  <c r="BH112" i="4"/>
  <c r="AB112" i="4" s="1"/>
  <c r="AV110" i="4"/>
  <c r="BC110" i="4"/>
  <c r="H105" i="4"/>
  <c r="H102" i="4" s="1"/>
  <c r="H101" i="4" s="1"/>
  <c r="AW105" i="4"/>
  <c r="AV21" i="5"/>
  <c r="BC21" i="5"/>
  <c r="BI21" i="5"/>
  <c r="J67" i="5"/>
  <c r="J66" i="5" s="1"/>
  <c r="I35" i="5"/>
  <c r="BI35" i="5"/>
  <c r="I18" i="5"/>
  <c r="I16" i="5" s="1"/>
  <c r="I15" i="5" s="1"/>
  <c r="AV143" i="4"/>
  <c r="BC143" i="4"/>
  <c r="AX136" i="4"/>
  <c r="AV136" i="4" s="1"/>
  <c r="AX130" i="4"/>
  <c r="BC129" i="4"/>
  <c r="BI96" i="4"/>
  <c r="AC96" i="4" s="1"/>
  <c r="AX96" i="4"/>
  <c r="BH141" i="4"/>
  <c r="AB141" i="4" s="1"/>
  <c r="H141" i="4"/>
  <c r="H140" i="4" s="1"/>
  <c r="AU135" i="4"/>
  <c r="AL124" i="4"/>
  <c r="AU123" i="4" s="1"/>
  <c r="J123" i="4"/>
  <c r="J122" i="4" s="1"/>
  <c r="BH108" i="4"/>
  <c r="AB108" i="4" s="1"/>
  <c r="AL100" i="4"/>
  <c r="AU99" i="4" s="1"/>
  <c r="J99" i="4"/>
  <c r="AX92" i="4"/>
  <c r="AV52" i="4"/>
  <c r="BC52" i="4"/>
  <c r="J22" i="4"/>
  <c r="AL23" i="4"/>
  <c r="AU22" i="4" s="1"/>
  <c r="AX53" i="5"/>
  <c r="BI83" i="4"/>
  <c r="AC83" i="4" s="1"/>
  <c r="AX83" i="4"/>
  <c r="AV83" i="4" s="1"/>
  <c r="I69" i="4"/>
  <c r="I63" i="4" s="1"/>
  <c r="I60" i="4" s="1"/>
  <c r="BI64" i="4"/>
  <c r="AC64" i="4" s="1"/>
  <c r="J29" i="4"/>
  <c r="AL30" i="4"/>
  <c r="AU29" i="4" s="1"/>
  <c r="I23" i="4"/>
  <c r="I22" i="4" s="1"/>
  <c r="I12" i="4" s="1"/>
  <c r="AV20" i="4"/>
  <c r="BC20" i="4"/>
  <c r="BH23" i="5"/>
  <c r="I126" i="4"/>
  <c r="I93" i="4"/>
  <c r="I90" i="4"/>
  <c r="BI90" i="4"/>
  <c r="AC90" i="4" s="1"/>
  <c r="AV43" i="4"/>
  <c r="AU33" i="4"/>
  <c r="BH24" i="4"/>
  <c r="AB24" i="4" s="1"/>
  <c r="I80" i="4"/>
  <c r="I76" i="4" s="1"/>
  <c r="I75" i="4" s="1"/>
  <c r="BI80" i="4"/>
  <c r="AC80" i="4" s="1"/>
  <c r="AL48" i="4"/>
  <c r="AU47" i="4" s="1"/>
  <c r="J47" i="4"/>
  <c r="AV201" i="3"/>
  <c r="BC201" i="3"/>
  <c r="AV164" i="3"/>
  <c r="BC164" i="3"/>
  <c r="AV115" i="3"/>
  <c r="BC115" i="3"/>
  <c r="AV96" i="3"/>
  <c r="BC96" i="3"/>
  <c r="AV55" i="3"/>
  <c r="BC55" i="3"/>
  <c r="I72" i="4"/>
  <c r="BI72" i="4"/>
  <c r="AC72" i="4" s="1"/>
  <c r="I51" i="4"/>
  <c r="I49" i="4" s="1"/>
  <c r="BI51" i="4"/>
  <c r="AC51" i="4" s="1"/>
  <c r="BI121" i="4"/>
  <c r="AX121" i="4"/>
  <c r="BC121" i="4" s="1"/>
  <c r="BC153" i="3"/>
  <c r="H139" i="3"/>
  <c r="H138" i="3" s="1"/>
  <c r="AV79" i="3"/>
  <c r="BC79" i="3"/>
  <c r="AV60" i="3"/>
  <c r="BC60" i="3"/>
  <c r="H41" i="4"/>
  <c r="H40" i="4" s="1"/>
  <c r="AV202" i="3"/>
  <c r="BC202" i="3"/>
  <c r="AV182" i="3"/>
  <c r="BC182" i="3"/>
  <c r="BC163" i="3"/>
  <c r="AV158" i="3"/>
  <c r="BC158" i="3"/>
  <c r="AV106" i="3"/>
  <c r="BC106" i="3"/>
  <c r="AV97" i="3"/>
  <c r="BC97" i="3"/>
  <c r="AV70" i="3"/>
  <c r="BC70" i="3"/>
  <c r="AV63" i="3"/>
  <c r="BC63" i="3"/>
  <c r="I33" i="3"/>
  <c r="BH14" i="4"/>
  <c r="AB14" i="4" s="1"/>
  <c r="AV165" i="3"/>
  <c r="BC165" i="3"/>
  <c r="AV155" i="3"/>
  <c r="BC155" i="3"/>
  <c r="AV143" i="3"/>
  <c r="BC143" i="3"/>
  <c r="AV125" i="3"/>
  <c r="BC125" i="3"/>
  <c r="BC49" i="3"/>
  <c r="AV49" i="3"/>
  <c r="BC45" i="3"/>
  <c r="AV45" i="3"/>
  <c r="BC37" i="3"/>
  <c r="AV37" i="3"/>
  <c r="BC172" i="3"/>
  <c r="I77" i="3"/>
  <c r="I74" i="3" s="1"/>
  <c r="BC52" i="5" l="1"/>
  <c r="AV52" i="5"/>
  <c r="AV96" i="4"/>
  <c r="BC96" i="4"/>
  <c r="BC27" i="4"/>
  <c r="AV27" i="4"/>
  <c r="BC113" i="4"/>
  <c r="AV113" i="4"/>
  <c r="J82" i="5"/>
  <c r="J12" i="5"/>
  <c r="BC80" i="4"/>
  <c r="AV80" i="4"/>
  <c r="AV127" i="4"/>
  <c r="BC127" i="4"/>
  <c r="BC136" i="4"/>
  <c r="I125" i="4"/>
  <c r="F29" i="1"/>
  <c r="I28" i="1"/>
  <c r="AV100" i="4"/>
  <c r="BC100" i="4"/>
  <c r="J125" i="4"/>
  <c r="J88" i="4"/>
  <c r="BC68" i="5"/>
  <c r="BC25" i="5"/>
  <c r="BC64" i="5"/>
  <c r="J46" i="4"/>
  <c r="I89" i="4"/>
  <c r="I88" i="4" s="1"/>
  <c r="BC83" i="4"/>
  <c r="BC105" i="4"/>
  <c r="AV105" i="4"/>
  <c r="BC49" i="5"/>
  <c r="AV49" i="5"/>
  <c r="AV121" i="4"/>
  <c r="AV33" i="5"/>
  <c r="AV45" i="4"/>
  <c r="AV108" i="4"/>
  <c r="BC108" i="4"/>
  <c r="BC138" i="4"/>
  <c r="AV138" i="4"/>
  <c r="H42" i="5"/>
  <c r="H41" i="5" s="1"/>
  <c r="H89" i="4"/>
  <c r="H88" i="4" s="1"/>
  <c r="BC24" i="4"/>
  <c r="AV24" i="4"/>
  <c r="I67" i="5"/>
  <c r="I66" i="5" s="1"/>
  <c r="BC66" i="4"/>
  <c r="AV66" i="4"/>
  <c r="BC21" i="4"/>
  <c r="AV21" i="4"/>
  <c r="BC112" i="4"/>
  <c r="AV112" i="4"/>
  <c r="BC35" i="5"/>
  <c r="AV35" i="5"/>
  <c r="BC37" i="5"/>
  <c r="BC55" i="5"/>
  <c r="AV55" i="5"/>
  <c r="BC38" i="4"/>
  <c r="AV38" i="4"/>
  <c r="BC14" i="4"/>
  <c r="AV14" i="4"/>
  <c r="BC116" i="4"/>
  <c r="AV116" i="4"/>
  <c r="BC87" i="4"/>
  <c r="AV87" i="4"/>
  <c r="AV35" i="4"/>
  <c r="BC35" i="4"/>
  <c r="AV55" i="4"/>
  <c r="BC55" i="4"/>
  <c r="AV103" i="4"/>
  <c r="BC103" i="4"/>
  <c r="AV17" i="4"/>
  <c r="BC17" i="4"/>
  <c r="BC23" i="5"/>
  <c r="AV23" i="5"/>
  <c r="AV45" i="5"/>
  <c r="BC45" i="5"/>
  <c r="BC63" i="5"/>
  <c r="AV63" i="5"/>
  <c r="BC46" i="5"/>
  <c r="AV46" i="5"/>
  <c r="BC30" i="4"/>
  <c r="AV30" i="4"/>
  <c r="AV94" i="4"/>
  <c r="BC94" i="4"/>
  <c r="J101" i="4"/>
  <c r="BC19" i="4"/>
  <c r="AV92" i="4"/>
  <c r="BC92" i="4"/>
  <c r="BC130" i="4"/>
  <c r="AV130" i="4"/>
  <c r="AV38" i="5"/>
  <c r="BC38" i="5"/>
  <c r="I31" i="5"/>
  <c r="I30" i="5" s="1"/>
  <c r="AV47" i="5"/>
  <c r="BC47" i="5"/>
  <c r="BC77" i="5"/>
  <c r="AV77" i="5"/>
  <c r="BC64" i="4"/>
  <c r="AV64" i="4"/>
  <c r="AV124" i="4"/>
  <c r="BC124" i="4"/>
  <c r="AV27" i="5"/>
  <c r="BC27" i="5"/>
  <c r="AV118" i="4"/>
  <c r="BC118" i="4"/>
  <c r="BC90" i="4"/>
  <c r="AV90" i="4"/>
  <c r="H12" i="4"/>
  <c r="I46" i="4"/>
  <c r="J147" i="4"/>
  <c r="J12" i="4"/>
  <c r="BC82" i="4"/>
  <c r="AV82" i="4"/>
  <c r="BC106" i="4"/>
  <c r="AV106" i="4"/>
  <c r="I101" i="4"/>
  <c r="I29" i="1" l="1"/>
</calcChain>
</file>

<file path=xl/sharedStrings.xml><?xml version="1.0" encoding="utf-8"?>
<sst xmlns="http://schemas.openxmlformats.org/spreadsheetml/2006/main" count="4345" uniqueCount="551">
  <si>
    <t>Krycí list slepého rozpočtu</t>
  </si>
  <si>
    <t>Název stavby:</t>
  </si>
  <si>
    <t>Objednatel:</t>
  </si>
  <si>
    <t>IČO/DIČ:</t>
  </si>
  <si>
    <t/>
  </si>
  <si>
    <t>Druh stavby:</t>
  </si>
  <si>
    <t>Projektant:</t>
  </si>
  <si>
    <t>67611591/CZ7303074053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</si>
  <si>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</si>
  <si>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</si>
  <si>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</si>
  <si>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</si>
  <si>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</si>
  <si>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</si>
  <si>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</si>
  <si>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</si>
  <si>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</si>
  <si>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</si>
  <si>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</si>
  <si>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</si>
  <si>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</si>
  <si>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</si>
  <si>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</si>
  <si>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</si>
  <si>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</si>
  <si>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Dokum.skut.proved.</t>
  </si>
  <si>
    <t>Zařízení staveniště</t>
  </si>
  <si>
    <t>Montáž</t>
  </si>
  <si>
    <t>Kompletační činnost</t>
  </si>
  <si>
    <t>Mimostav. doprava</t>
  </si>
  <si>
    <t>PSV</t>
  </si>
  <si>
    <t>Rezerva rozpočtu</t>
  </si>
  <si>
    <t>Územní vlivy</t>
  </si>
  <si>
    <t>Práce přesčas</t>
  </si>
  <si>
    <t>Provozní vlivy</t>
  </si>
  <si>
    <t>"M"</t>
  </si>
  <si>
    <t>Bez pevné podl</t>
  </si>
  <si>
    <t>Ostatní</t>
  </si>
  <si>
    <t>Kulturní památka</t>
  </si>
  <si>
    <t>NUS z rozpočtu</t>
  </si>
  <si>
    <t>Ostatní materiál</t>
  </si>
  <si>
    <t>Přesun hmot a sutí</t>
  </si>
  <si>
    <t>ZRN celkem</t>
  </si>
  <si>
    <t>Základ 0%</t>
  </si>
  <si>
    <t>DPH 0%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</si>
  <si>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</si>
  <si>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</si>
  <si>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</si>
  <si>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</si>
  <si>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</si>
  <si>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</si>
  <si>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</si>
  <si>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</si>
  <si>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</si>
  <si>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</si>
  <si>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</si>
  <si>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</si>
  <si>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</si>
  <si>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</si>
  <si>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</si>
  <si>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</si>
  <si>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</si>
  <si>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</si>
  <si>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</si>
  <si>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</si>
  <si>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</si>
  <si>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</si>
  <si>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Úprava veřejného prostranství v centru Břeclavi – Poštorné</t>
  </si>
  <si>
    <t>Doba výstavby:</t>
  </si>
  <si>
    <t xml:space="preserve"> </t>
  </si>
  <si>
    <t> </t>
  </si>
  <si>
    <t>Vegetační a technické úpravy</t>
  </si>
  <si>
    <t>Ing. Přemysl Krejčiřík, Ph.D.</t>
  </si>
  <si>
    <t>Zpracováno dne:</t>
  </si>
  <si>
    <t>21.04.2025</t>
  </si>
  <si>
    <t>Ing. Eliška Křížová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</si>
  <si>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</si>
  <si>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</si>
  <si>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</si>
  <si>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</si>
  <si>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</si>
  <si>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</si>
  <si>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</si>
  <si>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</si>
  <si>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</si>
  <si>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</si>
  <si>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</si>
  <si>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</si>
  <si>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</si>
  <si>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</si>
  <si>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</si>
  <si>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</si>
  <si>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</si>
  <si>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</si>
  <si>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</si>
  <si>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</si>
  <si>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</si>
  <si>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</si>
  <si>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</si>
  <si>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</si>
  <si>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</si>
  <si>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</si>
  <si>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</si>
  <si>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</si>
  <si>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Asanace stávajících prvků</t>
  </si>
  <si>
    <t>112VD</t>
  </si>
  <si>
    <t>Odstranění dřevin</t>
  </si>
  <si>
    <t>01</t>
  </si>
  <si>
    <t>1</t>
  </si>
  <si>
    <t>11215-1312VD</t>
  </si>
  <si>
    <t>Pokácení stromu postupné bez spouštění prům. kmene 200-300mm</t>
  </si>
  <si>
    <t>kus</t>
  </si>
  <si>
    <t>112VD_</t>
  </si>
  <si>
    <t>01_1_</t>
  </si>
  <si>
    <t>01_</t>
  </si>
  <si>
    <t>P</t>
  </si>
  <si>
    <t>2</t>
  </si>
  <si>
    <t>111201101R00</t>
  </si>
  <si>
    <t>Odstranění křovin i s kořeny na ploše do 1000 m2</t>
  </si>
  <si>
    <t>m2</t>
  </si>
  <si>
    <t>RTS I / 2025</t>
  </si>
  <si>
    <t>3</t>
  </si>
  <si>
    <t>11225-1221VD</t>
  </si>
  <si>
    <t>Odstranění pařezu odfrézováním nebo odvrtáním hloubky 200-500 mm, v rovině nebo na svahu 1:5</t>
  </si>
  <si>
    <t>4</t>
  </si>
  <si>
    <t>11215-1111VD</t>
  </si>
  <si>
    <t>Pokácení stromu směrové v celku s odřezáním kmene a odvětvením prům. kmene 100-200mm</t>
  </si>
  <si>
    <t>11</t>
  </si>
  <si>
    <t>Přípravné a přidružené práce</t>
  </si>
  <si>
    <t>5</t>
  </si>
  <si>
    <t>113107631R00</t>
  </si>
  <si>
    <t>Odstranění podkladu nad 50 m2,kam.drcené tl.31 cm</t>
  </si>
  <si>
    <t>11_</t>
  </si>
  <si>
    <t>6</t>
  </si>
  <si>
    <t>979083116R00</t>
  </si>
  <si>
    <t>Vodorovné přemístění suti na skládku do 20000 m, vč. naložení na dopr. prostředek do 12 t a složení (99 m2 x tl. 0,31m x 1,8 t/m3)</t>
  </si>
  <si>
    <t>t</t>
  </si>
  <si>
    <t>7</t>
  </si>
  <si>
    <t>979999999R00</t>
  </si>
  <si>
    <t>Poplatek za skládku - suť a vyb. hmoty</t>
  </si>
  <si>
    <t>16</t>
  </si>
  <si>
    <t>Přemístění výkopku</t>
  </si>
  <si>
    <t>8</t>
  </si>
  <si>
    <t>162301501R00</t>
  </si>
  <si>
    <t>Vodorovné přemístění křovin do  5000 m</t>
  </si>
  <si>
    <t>16_</t>
  </si>
  <si>
    <t>9</t>
  </si>
  <si>
    <t>162301411R00</t>
  </si>
  <si>
    <t>Vod.přemístění kmenů listnatých, D 30cm  do 5000 m</t>
  </si>
  <si>
    <t>10</t>
  </si>
  <si>
    <t>162301415R00</t>
  </si>
  <si>
    <t>Vod.přemístění kmenů jehlič., D 30cm  do 5000 m</t>
  </si>
  <si>
    <t>122VD</t>
  </si>
  <si>
    <t>Odstranění dřevní hmoty</t>
  </si>
  <si>
    <t>12291-1121VD</t>
  </si>
  <si>
    <t>Odstranění vyfrézované dřevní hmoty hloubky 200-500 mm, v rovině nebo na svahu 1:5</t>
  </si>
  <si>
    <t>122VD_</t>
  </si>
  <si>
    <t>12</t>
  </si>
  <si>
    <t>17411-1121VD</t>
  </si>
  <si>
    <t>Zásyp jam po vyfrézovaných pařezech hloubky 200-500 mm, v rovině nebo na svahu 1:5</t>
  </si>
  <si>
    <t>M46</t>
  </si>
  <si>
    <t>Zemní práce při montážích</t>
  </si>
  <si>
    <t>13</t>
  </si>
  <si>
    <t>460030091RT1</t>
  </si>
  <si>
    <t>Vytrhání obrubníků, lože písek, ležatých</t>
  </si>
  <si>
    <t>m</t>
  </si>
  <si>
    <t>M46_</t>
  </si>
  <si>
    <t>01_9_</t>
  </si>
  <si>
    <t>Obrubníky i zámková dlažba budou odvezeny mimo staveniště ke skládkování/dalšímu využití.</t>
  </si>
  <si>
    <t>14</t>
  </si>
  <si>
    <t>113109310R00</t>
  </si>
  <si>
    <t>Odstranění betonové zámkové dlažby včetně odvozu na skládku</t>
  </si>
  <si>
    <t>S0</t>
  </si>
  <si>
    <t>Přesuny sutí</t>
  </si>
  <si>
    <t>15</t>
  </si>
  <si>
    <t>979087008R00</t>
  </si>
  <si>
    <t>Odvoz na skládku dřeva, příplatek za dalších 5 km</t>
  </si>
  <si>
    <t>m3</t>
  </si>
  <si>
    <t>S0_</t>
  </si>
  <si>
    <t>Poplatek za skladku dřeva</t>
  </si>
  <si>
    <t>17</t>
  </si>
  <si>
    <t>Odvoz obrubníku na skládku, příplatek za dalších 5 km</t>
  </si>
  <si>
    <t>18</t>
  </si>
  <si>
    <t>Poplatek za skládku obrubníků</t>
  </si>
  <si>
    <t>19</t>
  </si>
  <si>
    <t>979087008R00R</t>
  </si>
  <si>
    <t>Odvoz zámkové dlažby na skládku, příplatek za dalších 5 km</t>
  </si>
  <si>
    <t>20</t>
  </si>
  <si>
    <t>979999999R00R</t>
  </si>
  <si>
    <t>Poplatek za skládku zámkové dlažby</t>
  </si>
  <si>
    <t>M</t>
  </si>
  <si>
    <t>21</t>
  </si>
  <si>
    <t>5832011</t>
  </si>
  <si>
    <t>Zemina zahradní, netříděná</t>
  </si>
  <si>
    <t>0</t>
  </si>
  <si>
    <t>Z99999_</t>
  </si>
  <si>
    <t>01_Z_</t>
  </si>
  <si>
    <t>Přípravné práce</t>
  </si>
  <si>
    <t>02</t>
  </si>
  <si>
    <t>22</t>
  </si>
  <si>
    <t>3333R</t>
  </si>
  <si>
    <t>Vytýčení technických sítí</t>
  </si>
  <si>
    <t>02_1_</t>
  </si>
  <si>
    <t>02_</t>
  </si>
  <si>
    <t>23</t>
  </si>
  <si>
    <t>4444R</t>
  </si>
  <si>
    <t>Vytýčení úprav</t>
  </si>
  <si>
    <t>24</t>
  </si>
  <si>
    <t>111_210VD</t>
  </si>
  <si>
    <t>Ocelová lemovka, 6/100 mm, v úrovni terénu - 362 bm, vč. 10% prořezu</t>
  </si>
  <si>
    <t>bm</t>
  </si>
  <si>
    <t>25</t>
  </si>
  <si>
    <t>111_211VD</t>
  </si>
  <si>
    <t>Roxor ocelový k ukotvení lemovky (tyč: 600 mm délka x 16 mm průměr); cca 2ks/bm</t>
  </si>
  <si>
    <t>ks</t>
  </si>
  <si>
    <t>26</t>
  </si>
  <si>
    <t>200_016VD</t>
  </si>
  <si>
    <t>Pokládka lemovky, vč. ukotvení k roxorům</t>
  </si>
  <si>
    <t>27</t>
  </si>
  <si>
    <t>998231311R00</t>
  </si>
  <si>
    <t>Přesun hmot pro sadovnické a krajin. úpravy do 5km</t>
  </si>
  <si>
    <t>Výsadba stromů v mlatu</t>
  </si>
  <si>
    <t>111</t>
  </si>
  <si>
    <t>Pěstební opatření</t>
  </si>
  <si>
    <t>03</t>
  </si>
  <si>
    <t>28</t>
  </si>
  <si>
    <t>111_300VD</t>
  </si>
  <si>
    <t>Vytýčení výsadeb</t>
  </si>
  <si>
    <t>bod</t>
  </si>
  <si>
    <t>111_</t>
  </si>
  <si>
    <t>03_1_</t>
  </si>
  <si>
    <t>03_</t>
  </si>
  <si>
    <t>Povrchové úpravy terénu</t>
  </si>
  <si>
    <t>29</t>
  </si>
  <si>
    <t>183101323R00</t>
  </si>
  <si>
    <t>Hloub. jamek s výměnou 100% půdy do 3 m3 sv.1:5</t>
  </si>
  <si>
    <t>18_</t>
  </si>
  <si>
    <t>30</t>
  </si>
  <si>
    <t>162701R</t>
  </si>
  <si>
    <t>Vodorovné přemístění výkopku z hor.1-4 do 20000 m (4 m3 x koef. nakypření 1,22)</t>
  </si>
  <si>
    <t>31</t>
  </si>
  <si>
    <t>199000002R00</t>
  </si>
  <si>
    <t>Poplatek za skládku zeminy</t>
  </si>
  <si>
    <t>32</t>
  </si>
  <si>
    <t>184102115R00</t>
  </si>
  <si>
    <t>Výsadba dřevin s balem D do 60 cm, v rovině, vč. zálivky</t>
  </si>
  <si>
    <t>33</t>
  </si>
  <si>
    <t>111_102VD</t>
  </si>
  <si>
    <t>Zhotovení obalu kmene z rákosové rohože</t>
  </si>
  <si>
    <t>34</t>
  </si>
  <si>
    <t>111_112VD</t>
  </si>
  <si>
    <t>Ukotvení stromů za zemní bal</t>
  </si>
  <si>
    <t>35</t>
  </si>
  <si>
    <t>184801121R00</t>
  </si>
  <si>
    <t>Ošetřování vysazených dřevin soliterních, v rovině</t>
  </si>
  <si>
    <t>36</t>
  </si>
  <si>
    <t>185851111R00</t>
  </si>
  <si>
    <t>Dovoz vody pro zálivku rostlin (100l/strom) do 6 km</t>
  </si>
  <si>
    <t>H23</t>
  </si>
  <si>
    <t>Plochy a úpravy území</t>
  </si>
  <si>
    <t>37</t>
  </si>
  <si>
    <t>H23_</t>
  </si>
  <si>
    <t>03_9_</t>
  </si>
  <si>
    <t>38</t>
  </si>
  <si>
    <t>111_16VD</t>
  </si>
  <si>
    <t>Zásobní tabletové hnojivo (tabl.12x10g/strom) vč. aplikace</t>
  </si>
  <si>
    <t>03_Z_</t>
  </si>
  <si>
    <t>39</t>
  </si>
  <si>
    <t>111_35VD</t>
  </si>
  <si>
    <t>Prunus avium 'Plena', 16/18, ZB</t>
  </si>
  <si>
    <t>40</t>
  </si>
  <si>
    <t>111_30VD</t>
  </si>
  <si>
    <t>Rákosová rohož, vázací materiál</t>
  </si>
  <si>
    <t>41</t>
  </si>
  <si>
    <t>111_200VD</t>
  </si>
  <si>
    <t>Fyzikální půdní kondicionér určený ke zvýšení vodní a živné kapacity půd (500g/strom), vč. aplikace</t>
  </si>
  <si>
    <t>kg</t>
  </si>
  <si>
    <t>42</t>
  </si>
  <si>
    <t>08231320</t>
  </si>
  <si>
    <t>Voda pro zálivku</t>
  </si>
  <si>
    <t>43</t>
  </si>
  <si>
    <t>003-002VD</t>
  </si>
  <si>
    <t>KSB-Z1 - kotvení za bal ve volné půdě, strom OK do 25, výška 3-5 m</t>
  </si>
  <si>
    <t>44</t>
  </si>
  <si>
    <t>28324555511R</t>
  </si>
  <si>
    <t>Deska terasová rýhovaná 1250x300x25 mm (použití při podzemním kotvení stromů)</t>
  </si>
  <si>
    <t>45</t>
  </si>
  <si>
    <t>888_002R</t>
  </si>
  <si>
    <t>Strukturální substrát pro stromy vč. promísení - složení viz specifikace, vč.5% sléhavosti</t>
  </si>
  <si>
    <t>Složení:
A) Horní organicko-minerální substrát (0-40 cm)
   Ornice středně těžká       15% objemu
   Kompost (lze částečně nahradit ornicí)     17% objemu
   Písek 0/3 mm                   30% objemu
   Štěrk 3/8 mm                   15% objemu
   Štěrk 8/16 mm                 15% objemu
   Biouhel                             8 % objemu
Poznámka: štěrk je vhodné alespoň částečně zaměnit za drcený Liapor.
B) Spodní minerální substrát (40-100 cm)
   Podorničí                          12% objemu
   Písek 0/3 mm                   30% objemu
   Štěrk 3/8 mm                    35% objemu
   Štěrk 8/16 mm                  15% objemu
   Biouhel                               8 % objemu</t>
  </si>
  <si>
    <t>Výsadba stromů v rostlém terénu</t>
  </si>
  <si>
    <t>04</t>
  </si>
  <si>
    <t>46</t>
  </si>
  <si>
    <t>04_1_</t>
  </si>
  <si>
    <t>04_</t>
  </si>
  <si>
    <t>47</t>
  </si>
  <si>
    <t>183101315R00</t>
  </si>
  <si>
    <t>Hloub. jamek s výměnou 100% půdy do 0,4 m3 sv.1:5</t>
  </si>
  <si>
    <t>48</t>
  </si>
  <si>
    <t>Vodorovné přemístění výkopku z hor.1-4 do 20000 m</t>
  </si>
  <si>
    <t>49</t>
  </si>
  <si>
    <t>50</t>
  </si>
  <si>
    <t>51</t>
  </si>
  <si>
    <t>52</t>
  </si>
  <si>
    <t>53</t>
  </si>
  <si>
    <t>184 2152R</t>
  </si>
  <si>
    <t>Ukotvení dřeviny podzemním kotvením do volné zeminy tř.1-4, obvodu kmene do 250 mm</t>
  </si>
  <si>
    <t>54</t>
  </si>
  <si>
    <t>184215411VD</t>
  </si>
  <si>
    <t>Zhotovení závlahové mísy</t>
  </si>
  <si>
    <t>55</t>
  </si>
  <si>
    <t>56</t>
  </si>
  <si>
    <t>04_9_</t>
  </si>
  <si>
    <t>57</t>
  </si>
  <si>
    <t>04_Z_</t>
  </si>
  <si>
    <t>58</t>
  </si>
  <si>
    <t>59</t>
  </si>
  <si>
    <t>10391100</t>
  </si>
  <si>
    <t>Kůra mulčovací VL</t>
  </si>
  <si>
    <t>60</t>
  </si>
  <si>
    <t>61</t>
  </si>
  <si>
    <t>62</t>
  </si>
  <si>
    <t>63</t>
  </si>
  <si>
    <t>Koelreuteria paniculata, 16/18, ZB</t>
  </si>
  <si>
    <t>64</t>
  </si>
  <si>
    <t>65</t>
  </si>
  <si>
    <t>Založení trvalkových záhonů</t>
  </si>
  <si>
    <t>06</t>
  </si>
  <si>
    <t>66</t>
  </si>
  <si>
    <t>184802111R00</t>
  </si>
  <si>
    <t>Chem. odplevelení před založ. postřikem</t>
  </si>
  <si>
    <t>06_1_</t>
  </si>
  <si>
    <t>06_</t>
  </si>
  <si>
    <t>67</t>
  </si>
  <si>
    <t>111105111R00</t>
  </si>
  <si>
    <t>Odstranění stařiny odvoz 20 km, na svahu do 1:5</t>
  </si>
  <si>
    <t>68</t>
  </si>
  <si>
    <t>183205121R00</t>
  </si>
  <si>
    <t>Založení záhonu v rovině/svah 1 : 5, starý trávník</t>
  </si>
  <si>
    <t>69</t>
  </si>
  <si>
    <t>183101311R00</t>
  </si>
  <si>
    <t>Hloub. jamek s výměnou 100% půdy do 0,01 m3, 1:5</t>
  </si>
  <si>
    <t>70</t>
  </si>
  <si>
    <t>183204115R00</t>
  </si>
  <si>
    <t>Výsadba květin hrnkovaných, květináč do 12 cm, do připravené půdy se zalitím</t>
  </si>
  <si>
    <t>71</t>
  </si>
  <si>
    <t>183101312R00</t>
  </si>
  <si>
    <t>Hloub. jamek s výměnou 100% půdy do 0,02 m3, 1:5</t>
  </si>
  <si>
    <t>72</t>
  </si>
  <si>
    <t>184102111R00</t>
  </si>
  <si>
    <t>Výsadba dřevin s balem D do 20 cm, v rovině, vč. zálivky</t>
  </si>
  <si>
    <t>73</t>
  </si>
  <si>
    <t>184921093R00</t>
  </si>
  <si>
    <t>Mulčování rostlin mulčovací kůrou tl. 7cm rovina</t>
  </si>
  <si>
    <t>74</t>
  </si>
  <si>
    <t>Dovoz vody pro zálivku rostlin (40l/m2) do 6 km</t>
  </si>
  <si>
    <t>75</t>
  </si>
  <si>
    <t>06_9_</t>
  </si>
  <si>
    <t>76</t>
  </si>
  <si>
    <t>06_Z_</t>
  </si>
  <si>
    <t>77</t>
  </si>
  <si>
    <t>111_08VD</t>
  </si>
  <si>
    <t>Trvalky (průměrná cena) - specifikace viz příloha</t>
  </si>
  <si>
    <t>78</t>
  </si>
  <si>
    <t>111_09VD</t>
  </si>
  <si>
    <t>Keře (průměrná cena) - podrobně viz příloha</t>
  </si>
  <si>
    <t>79</t>
  </si>
  <si>
    <t>2221VD</t>
  </si>
  <si>
    <t>Totální systémový herbicid na bázi glyfosátu (0,0005 l/m2)</t>
  </si>
  <si>
    <t>l</t>
  </si>
  <si>
    <t>80</t>
  </si>
  <si>
    <t>81</t>
  </si>
  <si>
    <t>Zásobní tabletové hnojivo (tabl.1x10g/trvalka, 2x10g/keř) vč. aplikace</t>
  </si>
  <si>
    <t>82</t>
  </si>
  <si>
    <t>Založení parkového trávníku výsevem</t>
  </si>
  <si>
    <t>07</t>
  </si>
  <si>
    <t>83</t>
  </si>
  <si>
    <t>Chem. odplevelení před založ. postřikem, v rovině</t>
  </si>
  <si>
    <t>07_1_</t>
  </si>
  <si>
    <t>07_</t>
  </si>
  <si>
    <t>84</t>
  </si>
  <si>
    <t>85</t>
  </si>
  <si>
    <t>183402111R00</t>
  </si>
  <si>
    <t>Rozrušení půdy do 15 cm v rovině/svah 1:5</t>
  </si>
  <si>
    <t>86</t>
  </si>
  <si>
    <t>182001111R00</t>
  </si>
  <si>
    <t>Plošná úprava terénu, nerovnosti do 10 cm v rovině</t>
  </si>
  <si>
    <t>87</t>
  </si>
  <si>
    <t>183403113R00</t>
  </si>
  <si>
    <t>Obdělání půdy frézováním v rovině</t>
  </si>
  <si>
    <t>88</t>
  </si>
  <si>
    <t>183403153R00</t>
  </si>
  <si>
    <t>Obdělání půdy hrabáním v rovině</t>
  </si>
  <si>
    <t>89</t>
  </si>
  <si>
    <t>185802113R00</t>
  </si>
  <si>
    <t>Hnojení umělým hnojivem v rovině</t>
  </si>
  <si>
    <t>90</t>
  </si>
  <si>
    <t>180402111R00</t>
  </si>
  <si>
    <t>Založení trávníku parkového výsevem v rovině včetně utažení</t>
  </si>
  <si>
    <t>91</t>
  </si>
  <si>
    <t>185804312R00</t>
  </si>
  <si>
    <t>Zalití trávníku vodou plochy nad 20 m2 (10l/m2)</t>
  </si>
  <si>
    <t>92</t>
  </si>
  <si>
    <t>07_9_</t>
  </si>
  <si>
    <t>93</t>
  </si>
  <si>
    <t>111116VD</t>
  </si>
  <si>
    <t>Travní směs 25g/m2</t>
  </si>
  <si>
    <t>07_Z_</t>
  </si>
  <si>
    <t>94</t>
  </si>
  <si>
    <t>95</t>
  </si>
  <si>
    <t>111_11VD</t>
  </si>
  <si>
    <t>Dlouhodobě působící granulované trávníkové hnojivo (0,03kg/m2)</t>
  </si>
  <si>
    <t>96</t>
  </si>
  <si>
    <t>Mlatový povrch, tl. 310 mm</t>
  </si>
  <si>
    <t>08</t>
  </si>
  <si>
    <t>97</t>
  </si>
  <si>
    <t>11300R</t>
  </si>
  <si>
    <t>Vytýčení tvaru zpevněné plochy</t>
  </si>
  <si>
    <t>soubor</t>
  </si>
  <si>
    <t>08_1_</t>
  </si>
  <si>
    <t>08_</t>
  </si>
  <si>
    <t>98</t>
  </si>
  <si>
    <t>11009RVD</t>
  </si>
  <si>
    <t>Laboratorní zkouška únosnosti a zhutnitelnosti zemní pláně</t>
  </si>
  <si>
    <t>99</t>
  </si>
  <si>
    <t>181101102R00</t>
  </si>
  <si>
    <t>Úprava pláně v zářezech v hor. 1-4, se zhutněním</t>
  </si>
  <si>
    <t>100</t>
  </si>
  <si>
    <t>171101101R00</t>
  </si>
  <si>
    <t>Uložení sypaniny s rozprostřením ve vrstvách a zhutněním</t>
  </si>
  <si>
    <t>Při realizaci mlatového povrchu je nutný dohled dodavatele materiálu na správnou vlhkost materiálu a technologii pokládky.
Hutnění probíhá válcem hm. cca 800 kg, bez vibrace, ručně vedený - 4-5 pojezdů.
- kamenivo drcené fr. 0-32: 70,2 m2 x tl. 0,22 m x 1,05 koef. sléhavosti = 16,22 m3
- kamenivo drcené fr. 0-16: 70,2 m2 x tl. 0,06 m x 1,05 koef. sléhavosti = 4,42 m3
- obrusná vrstva - přírodní min. materiál béžové barvy, fr. 0-5: 70,2 m2 x tl. 0,03 x 1,05 koef. sléhavosti = 2,21 m3</t>
  </si>
  <si>
    <t>101</t>
  </si>
  <si>
    <t>115977R</t>
  </si>
  <si>
    <t>Rovnoměrné promísení materiálu pro stabilizaci podloží, tl. 150 mm (70,2 m2 x tl. 0,15 m x 1,05 koef. sléhavosti)</t>
  </si>
  <si>
    <t>Promísení 2-3 % obj. nehašeného vápna se zeminou do hloubky 150 mm.
Stabilizace podloží bude aplikována, pokud to bude nutné na základě Laboratorní zkoušky únosnosti zemní pláně.</t>
  </si>
  <si>
    <t>102</t>
  </si>
  <si>
    <t>564211111R00</t>
  </si>
  <si>
    <t>Podklad ze štěrkopísku tloušťky 5 cm, vč. materiálu a hutnění - stabilizace podloží</t>
  </si>
  <si>
    <t>Stabilizace podloží bude aplikována, pokud to bude nutné na základě Laboratorní zkoušky únosnosti zemní pláně.</t>
  </si>
  <si>
    <t>103</t>
  </si>
  <si>
    <t>Dovoz vody pro navlhčení materiálu pro obrusnou vrstvu do 1000 m (1x prolít finální vrstvu - cca 10l/m2)</t>
  </si>
  <si>
    <t>104</t>
  </si>
  <si>
    <t>00011RVD</t>
  </si>
  <si>
    <t>Dovoz materiálu na staveniště vozidlem do 14 t, poplatek za 1 km</t>
  </si>
  <si>
    <t>km</t>
  </si>
  <si>
    <t>Předpokládaná vzdálenost z lomu tam a zpět: 40 km
Maximální hmotnost převáženého materiálu/t: 14
= celkový počet t: 46,27 t/14 t = 4 potřebných vleček x 40 km</t>
  </si>
  <si>
    <t>105</t>
  </si>
  <si>
    <t>122207111R00</t>
  </si>
  <si>
    <t>Odkopávky při pozemkové úpravě nezapaž., v hor.3, do hloubky 310 mm (70,2 m2 x tl. 0,31 m)</t>
  </si>
  <si>
    <t>106</t>
  </si>
  <si>
    <t>167101101R00</t>
  </si>
  <si>
    <t>Nakládání výkopku z hor.1-4 v množství do 100 m3 (21,76m3 x 1,22)</t>
  </si>
  <si>
    <t>107</t>
  </si>
  <si>
    <t>162601102R00</t>
  </si>
  <si>
    <t>Vodorovné přemístění výkopku z hor.1-4 do 5000 m  hl. 310 mm (70,2 m2 x tl. 0,31 m x koef. nakypření 1,22)</t>
  </si>
  <si>
    <t>108</t>
  </si>
  <si>
    <t>Poplatek za skládku zeminy (70,2 m2 x tl. 0,31 m x koef. nakypření 1,22)</t>
  </si>
  <si>
    <t>Konstrukce ze zemin</t>
  </si>
  <si>
    <t>109</t>
  </si>
  <si>
    <t>58531228</t>
  </si>
  <si>
    <t>Vápno bílé nehašené CL 90-Q, Vitošov, bal. 25 kg</t>
  </si>
  <si>
    <t>17_</t>
  </si>
  <si>
    <t>Při stabilizaci podloží připočítat k mocnosti výkopku 150 mm!!!
- promísení zeminy po nakypření s vápnem do hl. 150 mm
- posyp křemičitým pískem 50 mm</t>
  </si>
  <si>
    <t>110</t>
  </si>
  <si>
    <t>998222011R00</t>
  </si>
  <si>
    <t>Přesun hmot, pozemní komunikace, kryt z kameniva</t>
  </si>
  <si>
    <t>08_9_</t>
  </si>
  <si>
    <t>583423202</t>
  </si>
  <si>
    <t>Kamenivo drcené 0/32, tl. 220 mm (1,8/11,3m3)</t>
  </si>
  <si>
    <t>08_Z_</t>
  </si>
  <si>
    <t>112</t>
  </si>
  <si>
    <t>583425602</t>
  </si>
  <si>
    <t>Kamenivo drcené 0/16, tl. 60 mm (1,4/4m3)</t>
  </si>
  <si>
    <t>113</t>
  </si>
  <si>
    <t>114</t>
  </si>
  <si>
    <t>583412006</t>
  </si>
  <si>
    <t>Kamenivo - lomová prosívka fr. 0-5 béžové barvy, tl. 30 mm; 1,65 t/m3 x 1,5 m3</t>
  </si>
  <si>
    <t>Technologie mlatové krycí vrstvy musí splňovat zkoušky vhodnosti podle technické normy DIN 18 035-5 a Metodiky FLL 2007 "Fachbericht zu Planung, Bau und Instandhaltung von Wassergebundenen Wegen".
- spotřeba: 100 kg/m2
- min. vodopropustnost: 27,0 x 10-4 cm/s
- min. pevnost ve smyku: max. 67,2 kPa
- zatížení: min. 7,5 t
- výše uvedená kritéria musí mlatový povrch splňovat bez použití pojiv a stabilizátorů
- materiál nesmí obsahovat barviva a recykláty</t>
  </si>
  <si>
    <t>Mobiliář</t>
  </si>
  <si>
    <t>115</t>
  </si>
  <si>
    <t>10_9_</t>
  </si>
  <si>
    <t>10_</t>
  </si>
  <si>
    <t>116</t>
  </si>
  <si>
    <t>74910387R</t>
  </si>
  <si>
    <t>Lavička bez opěradla, R 1m; vč. instalace, dopravy, kotvení a materiálu</t>
  </si>
  <si>
    <t>10_Z_</t>
  </si>
  <si>
    <t>ocelová konstrukce opatřená vrstvou žárového zinku a vrstvou práškového vypalovacího laku, sedák z termojasanu ošetřeného olejem, atypické řešení do požadovaného tvaru složeného z 5 ks segmentů; včetně materiálu na ukotvení</t>
  </si>
  <si>
    <t>117</t>
  </si>
  <si>
    <t>043027R</t>
  </si>
  <si>
    <t>koš se stříškou, dřevěný obklad, na soklu, kotveno na dlažbu; 50 l, vč. instalace, dopravy, kotvení a materiálu</t>
  </si>
  <si>
    <t>ocelová konstrukce opatřená vrstvou žárového zinku a vrstvou práškového vypalovacího laku, opláštění z termojasanu ošetřeného olejem; včetně materiálu na ukotvení</t>
  </si>
  <si>
    <t>118</t>
  </si>
  <si>
    <t>59289212R</t>
  </si>
  <si>
    <t>Stojan na kolo, kotvení pod dlažbu; vč. instalace, dopravy, kotvení a materiálu</t>
  </si>
  <si>
    <t>ocelová konstrukce opatřená vrstvou žárového zinku a vrstvou práškového vypalovacího laku, gumový opěrník z materiálu EPDM v horní části; včetně materiálu na ukotvení</t>
  </si>
  <si>
    <t>Cihlová dlažba</t>
  </si>
  <si>
    <t>Odkopávky a prokopávky</t>
  </si>
  <si>
    <t>119</t>
  </si>
  <si>
    <t>122100010RA0</t>
  </si>
  <si>
    <t>Odkopávky nezapažené v hornině 1-4 (226 m2 x hl. 0,46 m)</t>
  </si>
  <si>
    <t>12_</t>
  </si>
  <si>
    <t>11_1_</t>
  </si>
  <si>
    <t>120</t>
  </si>
  <si>
    <t>167101102R00</t>
  </si>
  <si>
    <t>Nakládání výkopku z hor. 1 ÷ 4 v množství nad 100 m3</t>
  </si>
  <si>
    <t>121</t>
  </si>
  <si>
    <t>162701105RT3</t>
  </si>
  <si>
    <t>Vodorovné přemístění výkopku z hor.1-4 do 10000 m  (104 m3 x 1,22 koef. nakypření)</t>
  </si>
  <si>
    <t>122</t>
  </si>
  <si>
    <t>123</t>
  </si>
  <si>
    <t>124</t>
  </si>
  <si>
    <t>- kamenivo drcené fr. 16-32: 226 m2 x tl. 0,2 m x 1,05 koef. sléhavosti = 47,46 m3
- kamenivo drcené fr. 8-16: 226 m2 x tl. 0,1 m x 1,05 koef. sléhavosti = 23,73 m3</t>
  </si>
  <si>
    <t>Podkladní vrstvy komunikací, letišť a ploch</t>
  </si>
  <si>
    <t>125</t>
  </si>
  <si>
    <t>561451113R00</t>
  </si>
  <si>
    <t>Podklad ze zeminy stab. vápnem, tl. 15 cm - stabilizace podloží, vč. promísení a materiálu</t>
  </si>
  <si>
    <t>56_</t>
  </si>
  <si>
    <t>11_5_</t>
  </si>
  <si>
    <t>126</t>
  </si>
  <si>
    <t>Podklad ze štěrkopísku po zhutnění tloušťky 5 cm - stabilizace podloží, vč. materiálu</t>
  </si>
  <si>
    <t>Podlahy, podlahové konstrukce</t>
  </si>
  <si>
    <t>127</t>
  </si>
  <si>
    <t>632939241R00</t>
  </si>
  <si>
    <t>Pokládka dlažby cihelné tl.do 80mm do drtě tl.30mm</t>
  </si>
  <si>
    <t>63_</t>
  </si>
  <si>
    <t>11_6_</t>
  </si>
  <si>
    <t>H00</t>
  </si>
  <si>
    <t>Běžné stavební práce</t>
  </si>
  <si>
    <t>128</t>
  </si>
  <si>
    <t>Dovoz materiálu pro podkladní vrstvy na staveniště, poplatek za 1 km</t>
  </si>
  <si>
    <t>H00_</t>
  </si>
  <si>
    <t>11_9_</t>
  </si>
  <si>
    <t>Předpokládaná vzdálenost z lomu tam a zpět: 60 km
Maximální hmotnost převáženého materiálu/t: 12
= celkový počet t: 164,17/12 t = 14 potřebné vlečky x 60 km</t>
  </si>
  <si>
    <t>129</t>
  </si>
  <si>
    <t>998222012R00</t>
  </si>
  <si>
    <t>Přesun hmot, zpevněné plochy, kryt z kameniva</t>
  </si>
  <si>
    <t>130</t>
  </si>
  <si>
    <t>583426831</t>
  </si>
  <si>
    <t>Kamenivo drcené fr. 16/32 (45,78 m3 x 1,4 t/m3)</t>
  </si>
  <si>
    <t>11_Z_</t>
  </si>
  <si>
    <t>131</t>
  </si>
  <si>
    <t>Kamenivo drcené 8/16 (22,89 m3 x 1,4 t/m3)</t>
  </si>
  <si>
    <t>132</t>
  </si>
  <si>
    <t>111_22VD</t>
  </si>
  <si>
    <t>CIHLOVÁ DLAŽBA PÁLENÁ 200x100x62 odstín teracotta</t>
  </si>
  <si>
    <t>Cihlová dlažba pálená (např. tip klinker) do písku vysoké kvality - mrazuvzdornost, nízká nasákavost, vysoká pevnost, stálobarevnost, odolností vůči kyselinám a solím.
Parametry:
balení - 665 ks/paleta
rozměry - 200x100x62 mm
spotřeba na m2 - 48 ks/m2
hmotnost - 2.8 kg/ks</t>
  </si>
  <si>
    <t>133</t>
  </si>
  <si>
    <t>CIHLOVÁ DLAŽBA PÁLENÁ 200x100x62 odstín béžová</t>
  </si>
  <si>
    <t>Celkem:</t>
  </si>
  <si>
    <t>Slepý stavební rozpočet - práce</t>
  </si>
  <si>
    <t>Slepý stavební rozpočet -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</si>
</sst>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008080"/>
        <bgColor rgb="FF008080"/>
      </patternFill>
    </fill>
    <fill>
      <patternFill patternType="solid">
        <fgColor rgb="FFCCFFFF"/>
        <bgColor rgb="FFCCFFFF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4" fontId="8" fillId="0" borderId="16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7" fillId="0" borderId="19" xfId="0" applyFont="1" applyBorder="1" applyAlignment="1">
      <alignment horizontal="left" vertical="center"/>
    </xf>
    <xf numFmtId="4" fontId="8" fillId="0" borderId="23" xfId="0" applyNumberFormat="1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26" xfId="0" applyNumberFormat="1" applyFont="1" applyBorder="1" applyAlignment="1">
      <alignment horizontal="right" vertical="center"/>
    </xf>
    <xf numFmtId="4" fontId="7" fillId="2" borderId="13" xfId="0" applyNumberFormat="1" applyFont="1" applyFill="1" applyBorder="1" applyAlignment="1">
      <alignment horizontal="right" vertical="center"/>
    </xf>
    <xf numFmtId="4" fontId="7" fillId="2" borderId="18" xfId="0" applyNumberFormat="1" applyFont="1" applyFill="1" applyBorder="1" applyAlignment="1">
      <alignment horizontal="right" vertical="center"/>
    </xf>
    <xf numFmtId="0" fontId="9" fillId="0" borderId="40" xfId="0" applyFont="1" applyBorder="1" applyAlignment="1">
      <alignment horizontal="left" vertical="center"/>
    </xf>
    <xf numFmtId="0" fontId="3" fillId="0" borderId="45" xfId="0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left" vertical="center"/>
    </xf>
    <xf numFmtId="4" fontId="2" fillId="0" borderId="49" xfId="0" applyNumberFormat="1" applyFont="1" applyBorder="1" applyAlignment="1">
      <alignment horizontal="right" vertical="center"/>
    </xf>
    <xf numFmtId="0" fontId="2" fillId="0" borderId="49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53" xfId="0" applyFont="1" applyBorder="1" applyAlignment="1">
      <alignment horizontal="right" vertical="center"/>
    </xf>
    <xf numFmtId="4" fontId="3" fillId="0" borderId="53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8" xfId="0" applyFont="1" applyBorder="1" applyAlignment="1">
      <alignment horizontal="center" vertical="center"/>
    </xf>
    <xf numFmtId="0" fontId="3" fillId="3" borderId="61" xfId="0" applyFont="1" applyFill="1" applyBorder="1" applyAlignment="1" applyProtection="1">
      <alignment horizontal="center" vertical="center"/>
      <protection locked="0"/>
    </xf>
    <xf numFmtId="0" fontId="3" fillId="0" borderId="62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3" xfId="0" applyFont="1" applyBorder="1" applyAlignment="1">
      <alignment horizontal="left" vertical="center"/>
    </xf>
    <xf numFmtId="0" fontId="2" fillId="0" borderId="64" xfId="0" applyFont="1" applyBorder="1" applyAlignment="1">
      <alignment horizontal="left" vertical="center"/>
    </xf>
    <xf numFmtId="0" fontId="3" fillId="3" borderId="67" xfId="0" applyFont="1" applyFill="1" applyBorder="1" applyAlignment="1" applyProtection="1">
      <alignment horizontal="center" vertical="center"/>
      <protection locked="0"/>
    </xf>
    <xf numFmtId="0" fontId="3" fillId="0" borderId="6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2" fillId="4" borderId="71" xfId="0" applyFont="1" applyFill="1" applyBorder="1" applyAlignment="1">
      <alignment horizontal="left" vertical="center"/>
    </xf>
    <xf numFmtId="0" fontId="3" fillId="4" borderId="40" xfId="0" applyFont="1" applyFill="1" applyBorder="1" applyAlignment="1">
      <alignment horizontal="left" vertical="center"/>
    </xf>
    <xf numFmtId="0" fontId="2" fillId="4" borderId="40" xfId="0" applyFont="1" applyFill="1" applyBorder="1" applyAlignment="1">
      <alignment horizontal="left" vertical="center"/>
    </xf>
    <xf numFmtId="0" fontId="2" fillId="5" borderId="40" xfId="0" applyFont="1" applyFill="1" applyBorder="1" applyAlignment="1" applyProtection="1">
      <alignment horizontal="left" vertical="center"/>
      <protection locked="0"/>
    </xf>
    <xf numFmtId="4" fontId="3" fillId="4" borderId="40" xfId="0" applyNumberFormat="1" applyFont="1" applyFill="1" applyBorder="1" applyAlignment="1">
      <alignment horizontal="right" vertical="center"/>
    </xf>
    <xf numFmtId="0" fontId="3" fillId="4" borderId="72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5" borderId="0" xfId="0" applyFont="1" applyFill="1" applyAlignment="1" applyProtection="1">
      <alignment horizontal="left" vertical="center"/>
      <protection locked="0"/>
    </xf>
    <xf numFmtId="0" fontId="3" fillId="2" borderId="6" xfId="0" applyFont="1" applyFill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 applyAlignment="1" applyProtection="1">
      <alignment horizontal="right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5" xfId="0" applyBorder="1"/>
    <xf numFmtId="0" fontId="10" fillId="0" borderId="0" xfId="0" applyFont="1" applyAlignment="1">
      <alignment horizontal="right" vertical="center"/>
    </xf>
    <xf numFmtId="0" fontId="2" fillId="4" borderId="5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4" fontId="3" fillId="4" borderId="0" xfId="0" applyNumberFormat="1" applyFont="1" applyFill="1" applyAlignment="1">
      <alignment horizontal="right" vertical="center"/>
    </xf>
    <xf numFmtId="0" fontId="3" fillId="4" borderId="6" xfId="0" applyFont="1" applyFill="1" applyBorder="1" applyAlignment="1">
      <alignment horizontal="right" vertical="center"/>
    </xf>
    <xf numFmtId="0" fontId="0" fillId="0" borderId="7" xfId="0" applyBorder="1"/>
    <xf numFmtId="0" fontId="10" fillId="0" borderId="8" xfId="0" applyFont="1" applyBorder="1" applyAlignment="1">
      <alignment horizontal="right" vertical="center"/>
    </xf>
    <xf numFmtId="4" fontId="3" fillId="0" borderId="73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28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7" xfId="0" applyFont="1" applyFill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7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4" fontId="7" fillId="0" borderId="54" xfId="0" applyNumberFormat="1" applyFont="1" applyBorder="1" applyAlignment="1">
      <alignment horizontal="right" vertical="center"/>
    </xf>
    <xf numFmtId="0" fontId="7" fillId="0" borderId="51" xfId="0" applyFont="1" applyBorder="1" applyAlignment="1">
      <alignment horizontal="right" vertical="center"/>
    </xf>
    <xf numFmtId="0" fontId="7" fillId="0" borderId="52" xfId="0" applyFont="1" applyBorder="1" applyAlignment="1">
      <alignment horizontal="right" vertical="center"/>
    </xf>
    <xf numFmtId="0" fontId="2" fillId="0" borderId="55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3" borderId="3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3" borderId="41" xfId="0" applyFont="1" applyFill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 wrapText="1"/>
      <protection locked="0"/>
    </xf>
    <xf numFmtId="0" fontId="2" fillId="3" borderId="56" xfId="0" applyFont="1" applyFill="1" applyBorder="1" applyAlignment="1" applyProtection="1">
      <alignment horizontal="left" vertical="center"/>
      <protection locked="0"/>
    </xf>
    <xf numFmtId="0" fontId="3" fillId="0" borderId="59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66" xfId="0" applyFont="1" applyBorder="1" applyAlignment="1">
      <alignment horizontal="left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4" borderId="40" xfId="0" applyFont="1" applyFill="1" applyBorder="1" applyAlignment="1">
      <alignment horizontal="left" vertical="center" wrapText="1"/>
    </xf>
    <xf numFmtId="0" fontId="3" fillId="4" borderId="40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3" borderId="0" xfId="0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left" vertical="center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/>
    </xf>
    <xf numFmtId="0" fontId="10" fillId="3" borderId="8" xfId="0" applyFont="1" applyFill="1" applyBorder="1" applyAlignment="1" applyProtection="1">
      <alignment horizontal="left" vertical="center"/>
      <protection locked="0"/>
    </xf>
    <xf numFmtId="0" fontId="10" fillId="0" borderId="9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2" fillId="0" borderId="5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topLeftCell="A15" workbookViewId="0">
      <selection activeCell="L22" sqref="L22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73" t="s">
        <v>0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5" t="s">
        <v>1</v>
      </c>
      <c r="B2" s="76"/>
      <c r="C2" s="84" t="str">
        <f>'Stavební rozpočet'!C2</f>
        <v>Úprava veřejného prostranství v centru Břeclavi – Poštorné</v>
      </c>
      <c r="D2" s="85"/>
      <c r="E2" s="82" t="s">
        <v>2</v>
      </c>
      <c r="F2" s="82" t="str">
        <f>'Stavební rozpočet'!I2</f>
        <v> </v>
      </c>
      <c r="G2" s="76"/>
      <c r="H2" s="82" t="s">
        <v>3</v>
      </c>
      <c r="I2" s="87" t="s">
        <v>4</v>
      </c>
    </row>
    <row r="3" spans="1:9" ht="15" customHeight="1" x14ac:dyDescent="0.25">
      <c r="A3" s="77"/>
      <c r="B3" s="78"/>
      <c r="C3" s="86"/>
      <c r="D3" s="86"/>
      <c r="E3" s="78"/>
      <c r="F3" s="78"/>
      <c r="G3" s="78"/>
      <c r="H3" s="78"/>
      <c r="I3" s="88"/>
    </row>
    <row r="4" spans="1:9" x14ac:dyDescent="0.25">
      <c r="A4" s="79" t="s">
        <v>5</v>
      </c>
      <c r="B4" s="78"/>
      <c r="C4" s="83" t="str">
        <f>'Stavební rozpočet'!C4</f>
        <v>Vegetační a technické úpravy</v>
      </c>
      <c r="D4" s="78"/>
      <c r="E4" s="83" t="s">
        <v>6</v>
      </c>
      <c r="F4" s="83" t="str">
        <f>'Stavební rozpočet'!I4</f>
        <v>Ing. Přemysl Krejčiřík, Ph.D.</v>
      </c>
      <c r="G4" s="78"/>
      <c r="H4" s="83" t="s">
        <v>3</v>
      </c>
      <c r="I4" s="88" t="s">
        <v>7</v>
      </c>
    </row>
    <row r="5" spans="1:9" ht="15" customHeight="1" x14ac:dyDescent="0.25">
      <c r="A5" s="77"/>
      <c r="B5" s="78"/>
      <c r="C5" s="78"/>
      <c r="D5" s="78"/>
      <c r="E5" s="78"/>
      <c r="F5" s="78"/>
      <c r="G5" s="78"/>
      <c r="H5" s="78"/>
      <c r="I5" s="88"/>
    </row>
    <row r="6" spans="1:9" x14ac:dyDescent="0.25">
      <c r="A6" s="79" t="s">
        <v>8</v>
      </c>
      <c r="B6" s="78"/>
      <c r="C6" s="83" t="str">
        <f>'Stavební rozpočet'!C6</f>
        <v xml:space="preserve"> </v>
      </c>
      <c r="D6" s="78"/>
      <c r="E6" s="83" t="s">
        <v>9</v>
      </c>
      <c r="F6" s="83" t="str">
        <f>'Stavební rozpočet'!I6</f>
        <v> </v>
      </c>
      <c r="G6" s="78"/>
      <c r="H6" s="83" t="s">
        <v>3</v>
      </c>
      <c r="I6" s="88" t="s">
        <v>4</v>
      </c>
    </row>
    <row r="7" spans="1:9" ht="15" customHeight="1" x14ac:dyDescent="0.25">
      <c r="A7" s="77"/>
      <c r="B7" s="78"/>
      <c r="C7" s="78"/>
      <c r="D7" s="78"/>
      <c r="E7" s="78"/>
      <c r="F7" s="78"/>
      <c r="G7" s="78"/>
      <c r="H7" s="78"/>
      <c r="I7" s="88"/>
    </row>
    <row r="8" spans="1:9" x14ac:dyDescent="0.25">
      <c r="A8" s="79" t="s">
        <v>10</v>
      </c>
      <c r="B8" s="78"/>
      <c r="C8" s="83" t="str">
        <f>'Stavební rozpočet'!G4</f>
        <v xml:space="preserve"> </v>
      </c>
      <c r="D8" s="78"/>
      <c r="E8" s="83" t="s">
        <v>11</v>
      </c>
      <c r="F8" s="83" t="str">
        <f>'Stavební rozpočet'!G6</f>
        <v xml:space="preserve"> </v>
      </c>
      <c r="G8" s="78"/>
      <c r="H8" s="78" t="s">
        <v>12</v>
      </c>
      <c r="I8" s="89">
        <v>133</v>
      </c>
    </row>
    <row r="9" spans="1:9" x14ac:dyDescent="0.25">
      <c r="A9" s="77"/>
      <c r="B9" s="78"/>
      <c r="C9" s="78"/>
      <c r="D9" s="78"/>
      <c r="E9" s="78"/>
      <c r="F9" s="78"/>
      <c r="G9" s="78"/>
      <c r="H9" s="78"/>
      <c r="I9" s="88"/>
    </row>
    <row r="10" spans="1:9" x14ac:dyDescent="0.25">
      <c r="A10" s="79" t="s">
        <v>13</v>
      </c>
      <c r="B10" s="78"/>
      <c r="C10" s="83" t="str">
        <f>'Stavební rozpočet'!C8</f>
        <v xml:space="preserve"> </v>
      </c>
      <c r="D10" s="78"/>
      <c r="E10" s="83" t="s">
        <v>14</v>
      </c>
      <c r="F10" s="83" t="str">
        <f>'Stavební rozpočet'!I8</f>
        <v>Ing. Eliška Křížová</v>
      </c>
      <c r="G10" s="78"/>
      <c r="H10" s="78" t="s">
        <v>15</v>
      </c>
      <c r="I10" s="90" t="str">
        <f>'Stavební rozpočet'!G8</f>
        <v>21.04.2025</v>
      </c>
    </row>
    <row r="11" spans="1:9" x14ac:dyDescent="0.25">
      <c r="A11" s="80"/>
      <c r="B11" s="81"/>
      <c r="C11" s="81"/>
      <c r="D11" s="81"/>
      <c r="E11" s="81"/>
      <c r="F11" s="81"/>
      <c r="G11" s="81"/>
      <c r="H11" s="81"/>
      <c r="I11" s="91"/>
    </row>
    <row r="12" spans="1:9" ht="23.25" x14ac:dyDescent="0.25">
      <c r="A12" s="92" t="s">
        <v>16</v>
      </c>
      <c r="B12" s="92"/>
      <c r="C12" s="92"/>
      <c r="D12" s="92"/>
      <c r="E12" s="92"/>
      <c r="F12" s="92"/>
      <c r="G12" s="92"/>
      <c r="H12" s="92"/>
      <c r="I12" s="92"/>
    </row>
    <row r="13" spans="1:9" ht="26.25" customHeight="1" x14ac:dyDescent="0.25">
      <c r="A13" s="6" t="s">
        <v>17</v>
      </c>
      <c r="B13" s="93" t="s">
        <v>18</v>
      </c>
      <c r="C13" s="94"/>
      <c r="D13" s="7" t="s">
        <v>19</v>
      </c>
      <c r="E13" s="93" t="s">
        <v>20</v>
      </c>
      <c r="F13" s="94"/>
      <c r="G13" s="7" t="s">
        <v>21</v>
      </c>
      <c r="H13" s="93" t="s">
        <v>22</v>
      </c>
      <c r="I13" s="94"/>
    </row>
    <row r="14" spans="1:9" ht="15.75" x14ac:dyDescent="0.25">
      <c r="A14" s="8" t="s">
        <v>23</v>
      </c>
      <c r="B14" s="9" t="s">
        <v>24</v>
      </c>
      <c r="C14" s="10">
        <f>SUM('Stavební rozpočet'!AB12:AB1648)</f>
        <v>0</v>
      </c>
      <c r="D14" s="101"/>
      <c r="E14" s="102"/>
      <c r="F14" s="10"/>
      <c r="G14" s="101"/>
      <c r="H14" s="102"/>
      <c r="I14" s="11"/>
    </row>
    <row r="15" spans="1:9" ht="15.75" x14ac:dyDescent="0.25">
      <c r="A15" s="12" t="s">
        <v>4</v>
      </c>
      <c r="B15" s="9" t="s">
        <v>27</v>
      </c>
      <c r="C15" s="10">
        <f>SUM('Stavební rozpočet'!AC12:AC1648)</f>
        <v>0</v>
      </c>
      <c r="D15" s="101"/>
      <c r="E15" s="102"/>
      <c r="F15" s="10"/>
      <c r="G15" s="101"/>
      <c r="H15" s="102"/>
      <c r="I15" s="11"/>
    </row>
    <row r="16" spans="1:9" ht="15.75" x14ac:dyDescent="0.25">
      <c r="A16" s="8" t="s">
        <v>30</v>
      </c>
      <c r="B16" s="9" t="s">
        <v>24</v>
      </c>
      <c r="C16" s="10">
        <f>SUM('Stavební rozpočet'!AD12:AD1648)</f>
        <v>0</v>
      </c>
      <c r="D16" s="101"/>
      <c r="E16" s="102"/>
      <c r="F16" s="10"/>
      <c r="G16" s="101"/>
      <c r="H16" s="102"/>
      <c r="I16" s="11"/>
    </row>
    <row r="17" spans="1:9" ht="15.75" x14ac:dyDescent="0.25">
      <c r="A17" s="12" t="s">
        <v>4</v>
      </c>
      <c r="B17" s="9" t="s">
        <v>27</v>
      </c>
      <c r="C17" s="10">
        <f>SUM('Stavební rozpočet'!AE12:AE1648)</f>
        <v>0</v>
      </c>
      <c r="D17" s="101"/>
      <c r="E17" s="102"/>
      <c r="F17" s="11"/>
      <c r="G17" s="101"/>
      <c r="H17" s="102"/>
      <c r="I17" s="11"/>
    </row>
    <row r="18" spans="1:9" ht="15.75" x14ac:dyDescent="0.25">
      <c r="A18" s="8" t="s">
        <v>35</v>
      </c>
      <c r="B18" s="9" t="s">
        <v>24</v>
      </c>
      <c r="C18" s="10">
        <f>SUM('Stavební rozpočet'!AF12:AF1648)</f>
        <v>0</v>
      </c>
      <c r="D18" s="101"/>
      <c r="E18" s="102"/>
      <c r="F18" s="11"/>
      <c r="G18" s="101"/>
      <c r="H18" s="102"/>
      <c r="I18" s="11"/>
    </row>
    <row r="19" spans="1:9" ht="15.75" x14ac:dyDescent="0.25">
      <c r="A19" s="12" t="s">
        <v>4</v>
      </c>
      <c r="B19" s="9" t="s">
        <v>27</v>
      </c>
      <c r="C19" s="10">
        <f>SUM('Stavební rozpočet'!AG12:AG1648)</f>
        <v>0</v>
      </c>
      <c r="D19" s="101"/>
      <c r="E19" s="102"/>
      <c r="F19" s="11"/>
      <c r="G19" s="101"/>
      <c r="H19" s="102"/>
      <c r="I19" s="11"/>
    </row>
    <row r="20" spans="1:9" ht="15.75" x14ac:dyDescent="0.25">
      <c r="A20" s="95" t="s">
        <v>40</v>
      </c>
      <c r="B20" s="96"/>
      <c r="C20" s="10">
        <f>SUM('Stavební rozpočet'!AH12:AH1648)</f>
        <v>0</v>
      </c>
      <c r="D20" s="101"/>
      <c r="E20" s="102"/>
      <c r="F20" s="11"/>
      <c r="G20" s="101"/>
      <c r="H20" s="102"/>
      <c r="I20" s="11"/>
    </row>
    <row r="21" spans="1:9" ht="15.75" x14ac:dyDescent="0.25">
      <c r="A21" s="97" t="s">
        <v>41</v>
      </c>
      <c r="B21" s="98"/>
      <c r="C21" s="13">
        <f>SUM('Stavební rozpočet'!Z12:Z1648)</f>
        <v>0</v>
      </c>
      <c r="D21" s="103"/>
      <c r="E21" s="104"/>
      <c r="F21" s="14"/>
      <c r="G21" s="103"/>
      <c r="H21" s="104"/>
      <c r="I21" s="14"/>
    </row>
    <row r="22" spans="1:9" ht="16.5" customHeight="1" x14ac:dyDescent="0.25">
      <c r="A22" s="99" t="s">
        <v>42</v>
      </c>
      <c r="B22" s="100"/>
      <c r="C22" s="15">
        <f>ROUND(SUM(C14:C21),2)</f>
        <v>0</v>
      </c>
      <c r="D22" s="105"/>
      <c r="E22" s="100"/>
      <c r="F22" s="15"/>
      <c r="G22" s="105"/>
      <c r="H22" s="100"/>
      <c r="I22" s="15"/>
    </row>
    <row r="23" spans="1:9" ht="15.75" x14ac:dyDescent="0.25">
      <c r="D23" s="95"/>
      <c r="E23" s="96"/>
      <c r="F23" s="16"/>
      <c r="G23" s="106"/>
      <c r="H23" s="96"/>
      <c r="I23" s="10"/>
    </row>
    <row r="24" spans="1:9" ht="15.75" x14ac:dyDescent="0.25">
      <c r="G24" s="95"/>
      <c r="H24" s="96"/>
      <c r="I24" s="13"/>
    </row>
    <row r="25" spans="1:9" ht="15.75" x14ac:dyDescent="0.25">
      <c r="G25" s="95"/>
      <c r="H25" s="96"/>
      <c r="I25" s="15"/>
    </row>
    <row r="27" spans="1:9" ht="15.75" x14ac:dyDescent="0.25">
      <c r="A27" s="107" t="s">
        <v>43</v>
      </c>
      <c r="B27" s="108"/>
      <c r="C27" s="17">
        <f>ROUND(SUM('Stavební rozpočet'!AJ12:AJ1648),2)</f>
        <v>0</v>
      </c>
    </row>
    <row r="28" spans="1:9" ht="15.75" x14ac:dyDescent="0.25">
      <c r="A28" s="109" t="s">
        <v>43</v>
      </c>
      <c r="B28" s="110"/>
      <c r="C28" s="18">
        <f>ROUND(SUM('Stavební rozpočet'!AK12:AK1648),2)</f>
        <v>0</v>
      </c>
      <c r="D28" s="111" t="s">
        <v>44</v>
      </c>
      <c r="E28" s="108"/>
      <c r="F28" s="17">
        <f>ROUND(C28*(0/100),2)</f>
        <v>0</v>
      </c>
      <c r="G28" s="111" t="s">
        <v>45</v>
      </c>
      <c r="H28" s="108"/>
      <c r="I28" s="17">
        <f>ROUND(SUM(C27:C29),2)</f>
        <v>0</v>
      </c>
    </row>
    <row r="29" spans="1:9" ht="15.75" x14ac:dyDescent="0.25">
      <c r="A29" s="109" t="s">
        <v>46</v>
      </c>
      <c r="B29" s="110"/>
      <c r="C29" s="18">
        <f>ROUND(SUM('Stavební rozpočet'!AL12:AL1648)+(F22+I22+F23+I23+I24+I25),2)</f>
        <v>0</v>
      </c>
      <c r="D29" s="112" t="s">
        <v>47</v>
      </c>
      <c r="E29" s="110"/>
      <c r="F29" s="18">
        <f>ROUND(C29*(21/100),2)</f>
        <v>0</v>
      </c>
      <c r="G29" s="112" t="s">
        <v>48</v>
      </c>
      <c r="H29" s="110"/>
      <c r="I29" s="18">
        <f>ROUND(SUM(F28:F29)+I28,2)</f>
        <v>0</v>
      </c>
    </row>
    <row r="31" spans="1:9" x14ac:dyDescent="0.25">
      <c r="A31" s="113" t="s">
        <v>49</v>
      </c>
      <c r="B31" s="114"/>
      <c r="C31" s="115"/>
      <c r="D31" s="122" t="s">
        <v>50</v>
      </c>
      <c r="E31" s="114"/>
      <c r="F31" s="115"/>
      <c r="G31" s="122" t="s">
        <v>51</v>
      </c>
      <c r="H31" s="114"/>
      <c r="I31" s="115"/>
    </row>
    <row r="32" spans="1:9" x14ac:dyDescent="0.25">
      <c r="A32" s="116" t="s">
        <v>4</v>
      </c>
      <c r="B32" s="117"/>
      <c r="C32" s="118"/>
      <c r="D32" s="123" t="s">
        <v>4</v>
      </c>
      <c r="E32" s="117"/>
      <c r="F32" s="118"/>
      <c r="G32" s="123" t="s">
        <v>4</v>
      </c>
      <c r="H32" s="117"/>
      <c r="I32" s="118"/>
    </row>
    <row r="33" spans="1:9" x14ac:dyDescent="0.25">
      <c r="A33" s="116" t="s">
        <v>4</v>
      </c>
      <c r="B33" s="117"/>
      <c r="C33" s="118"/>
      <c r="D33" s="123" t="s">
        <v>4</v>
      </c>
      <c r="E33" s="117"/>
      <c r="F33" s="118"/>
      <c r="G33" s="123" t="s">
        <v>4</v>
      </c>
      <c r="H33" s="117"/>
      <c r="I33" s="118"/>
    </row>
    <row r="34" spans="1:9" x14ac:dyDescent="0.25">
      <c r="A34" s="116" t="s">
        <v>4</v>
      </c>
      <c r="B34" s="117"/>
      <c r="C34" s="118"/>
      <c r="D34" s="123" t="s">
        <v>4</v>
      </c>
      <c r="E34" s="117"/>
      <c r="F34" s="118"/>
      <c r="G34" s="123" t="s">
        <v>4</v>
      </c>
      <c r="H34" s="117"/>
      <c r="I34" s="118"/>
    </row>
    <row r="35" spans="1:9" x14ac:dyDescent="0.25">
      <c r="A35" s="119" t="s">
        <v>52</v>
      </c>
      <c r="B35" s="120"/>
      <c r="C35" s="121"/>
      <c r="D35" s="124" t="s">
        <v>52</v>
      </c>
      <c r="E35" s="120"/>
      <c r="F35" s="121"/>
      <c r="G35" s="124" t="s">
        <v>52</v>
      </c>
      <c r="H35" s="120"/>
      <c r="I35" s="121"/>
    </row>
    <row r="36" spans="1:9" x14ac:dyDescent="0.25">
      <c r="A36" s="19" t="s">
        <v>53</v>
      </c>
    </row>
    <row r="37" spans="1:9" ht="12.75" customHeight="1" x14ac:dyDescent="0.25">
      <c r="A37" s="83" t="s">
        <v>4</v>
      </c>
      <c r="B37" s="78"/>
      <c r="C37" s="78"/>
      <c r="D37" s="78"/>
      <c r="E37" s="78"/>
      <c r="F37" s="78"/>
      <c r="G37" s="78"/>
      <c r="H37" s="78"/>
      <c r="I37" s="78"/>
    </row>
  </sheetData>
  <sheetProtection algorithmName="SHA-512" hashValue="0MdtWtSPlV8JXs5vPi9T5AcOY2hJGR5RJYld5aYq1LzQLJ1yHInqCcgCqRTgsUJZcJBy7eFendBpxbR3gT/BaQ==" saltValue="eWIDouxbO/iX/8zsUZTlWg==" spinCount="100000" sheet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9"/>
  <sheetViews>
    <sheetView workbookViewId="0">
      <selection activeCell="A39" sqref="A39:E39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73" t="s">
        <v>54</v>
      </c>
      <c r="B1" s="74"/>
      <c r="C1" s="74"/>
      <c r="D1" s="74"/>
      <c r="E1" s="74"/>
      <c r="F1" s="74"/>
      <c r="G1" s="74"/>
      <c r="H1" s="74"/>
      <c r="I1" s="74"/>
    </row>
    <row r="2" spans="1:9" x14ac:dyDescent="0.25">
      <c r="A2" s="75" t="s">
        <v>1</v>
      </c>
      <c r="B2" s="76"/>
      <c r="C2" s="84" t="str">
        <f>'Stavební rozpočet'!C2</f>
        <v>Úprava veřejného prostranství v centru Břeclavi – Poštorné</v>
      </c>
      <c r="D2" s="85"/>
      <c r="E2" s="82" t="s">
        <v>2</v>
      </c>
      <c r="F2" s="82" t="str">
        <f>'Stavební rozpočet'!I2</f>
        <v> </v>
      </c>
      <c r="G2" s="76"/>
      <c r="H2" s="82" t="s">
        <v>3</v>
      </c>
      <c r="I2" s="87" t="s">
        <v>4</v>
      </c>
    </row>
    <row r="3" spans="1:9" ht="15" customHeight="1" x14ac:dyDescent="0.25">
      <c r="A3" s="77"/>
      <c r="B3" s="78"/>
      <c r="C3" s="86"/>
      <c r="D3" s="86"/>
      <c r="E3" s="78"/>
      <c r="F3" s="78"/>
      <c r="G3" s="78"/>
      <c r="H3" s="78"/>
      <c r="I3" s="88"/>
    </row>
    <row r="4" spans="1:9" x14ac:dyDescent="0.25">
      <c r="A4" s="79" t="s">
        <v>5</v>
      </c>
      <c r="B4" s="78"/>
      <c r="C4" s="83" t="str">
        <f>'Stavební rozpočet'!C4</f>
        <v>Vegetační a technické úpravy</v>
      </c>
      <c r="D4" s="78"/>
      <c r="E4" s="83" t="s">
        <v>6</v>
      </c>
      <c r="F4" s="83" t="str">
        <f>'Stavební rozpočet'!I4</f>
        <v>Ing. Přemysl Krejčiřík, Ph.D.</v>
      </c>
      <c r="G4" s="78"/>
      <c r="H4" s="83" t="s">
        <v>3</v>
      </c>
      <c r="I4" s="88" t="s">
        <v>7</v>
      </c>
    </row>
    <row r="5" spans="1:9" ht="15" customHeight="1" x14ac:dyDescent="0.25">
      <c r="A5" s="77"/>
      <c r="B5" s="78"/>
      <c r="C5" s="78"/>
      <c r="D5" s="78"/>
      <c r="E5" s="78"/>
      <c r="F5" s="78"/>
      <c r="G5" s="78"/>
      <c r="H5" s="78"/>
      <c r="I5" s="88"/>
    </row>
    <row r="6" spans="1:9" x14ac:dyDescent="0.25">
      <c r="A6" s="79" t="s">
        <v>8</v>
      </c>
      <c r="B6" s="78"/>
      <c r="C6" s="83" t="str">
        <f>'Stavební rozpočet'!C6</f>
        <v xml:space="preserve"> </v>
      </c>
      <c r="D6" s="78"/>
      <c r="E6" s="83" t="s">
        <v>9</v>
      </c>
      <c r="F6" s="83" t="str">
        <f>'Stavební rozpočet'!I6</f>
        <v> </v>
      </c>
      <c r="G6" s="78"/>
      <c r="H6" s="83" t="s">
        <v>3</v>
      </c>
      <c r="I6" s="88" t="s">
        <v>4</v>
      </c>
    </row>
    <row r="7" spans="1:9" ht="15" customHeight="1" x14ac:dyDescent="0.25">
      <c r="A7" s="77"/>
      <c r="B7" s="78"/>
      <c r="C7" s="78"/>
      <c r="D7" s="78"/>
      <c r="E7" s="78"/>
      <c r="F7" s="78"/>
      <c r="G7" s="78"/>
      <c r="H7" s="78"/>
      <c r="I7" s="88"/>
    </row>
    <row r="8" spans="1:9" x14ac:dyDescent="0.25">
      <c r="A8" s="79" t="s">
        <v>10</v>
      </c>
      <c r="B8" s="78"/>
      <c r="C8" s="83" t="str">
        <f>'Stavební rozpočet'!G4</f>
        <v xml:space="preserve"> </v>
      </c>
      <c r="D8" s="78"/>
      <c r="E8" s="83" t="s">
        <v>11</v>
      </c>
      <c r="F8" s="83" t="str">
        <f>'Stavební rozpočet'!G6</f>
        <v xml:space="preserve"> </v>
      </c>
      <c r="G8" s="78"/>
      <c r="H8" s="78" t="s">
        <v>12</v>
      </c>
      <c r="I8" s="89">
        <v>133</v>
      </c>
    </row>
    <row r="9" spans="1:9" x14ac:dyDescent="0.25">
      <c r="A9" s="77"/>
      <c r="B9" s="78"/>
      <c r="C9" s="78"/>
      <c r="D9" s="78"/>
      <c r="E9" s="78"/>
      <c r="F9" s="78"/>
      <c r="G9" s="78"/>
      <c r="H9" s="78"/>
      <c r="I9" s="88"/>
    </row>
    <row r="10" spans="1:9" x14ac:dyDescent="0.25">
      <c r="A10" s="79" t="s">
        <v>13</v>
      </c>
      <c r="B10" s="78"/>
      <c r="C10" s="83" t="str">
        <f>'Stavební rozpočet'!C8</f>
        <v xml:space="preserve"> </v>
      </c>
      <c r="D10" s="78"/>
      <c r="E10" s="83" t="s">
        <v>14</v>
      </c>
      <c r="F10" s="83" t="str">
        <f>'Stavební rozpočet'!I8</f>
        <v>Ing. Eliška Křížová</v>
      </c>
      <c r="G10" s="78"/>
      <c r="H10" s="78" t="s">
        <v>15</v>
      </c>
      <c r="I10" s="90" t="str">
        <f>'Stavební rozpočet'!G8</f>
        <v>21.04.2025</v>
      </c>
    </row>
    <row r="11" spans="1:9" x14ac:dyDescent="0.25">
      <c r="A11" s="80"/>
      <c r="B11" s="81"/>
      <c r="C11" s="81"/>
      <c r="D11" s="81"/>
      <c r="E11" s="81"/>
      <c r="F11" s="81"/>
      <c r="G11" s="81"/>
      <c r="H11" s="81"/>
      <c r="I11" s="91"/>
    </row>
    <row r="13" spans="1:9" ht="15.75" x14ac:dyDescent="0.25">
      <c r="A13" s="125" t="s">
        <v>55</v>
      </c>
      <c r="B13" s="125"/>
      <c r="C13" s="125"/>
      <c r="D13" s="125"/>
      <c r="E13" s="125"/>
    </row>
    <row r="14" spans="1:9" x14ac:dyDescent="0.25">
      <c r="A14" s="126" t="s">
        <v>56</v>
      </c>
      <c r="B14" s="127"/>
      <c r="C14" s="127"/>
      <c r="D14" s="127"/>
      <c r="E14" s="128"/>
      <c r="F14" s="20" t="s">
        <v>57</v>
      </c>
      <c r="G14" s="20" t="s">
        <v>58</v>
      </c>
      <c r="H14" s="20" t="s">
        <v>59</v>
      </c>
      <c r="I14" s="20" t="s">
        <v>57</v>
      </c>
    </row>
    <row r="15" spans="1:9" x14ac:dyDescent="0.25">
      <c r="A15" s="129" t="s">
        <v>25</v>
      </c>
      <c r="B15" s="130"/>
      <c r="C15" s="130"/>
      <c r="D15" s="130"/>
      <c r="E15" s="131"/>
      <c r="F15" s="21">
        <v>0</v>
      </c>
      <c r="G15" s="22" t="s">
        <v>4</v>
      </c>
      <c r="H15" s="22" t="s">
        <v>4</v>
      </c>
      <c r="I15" s="21">
        <f t="shared" ref="I15:I20" si="0">F15</f>
        <v>0</v>
      </c>
    </row>
    <row r="16" spans="1:9" x14ac:dyDescent="0.25">
      <c r="A16" s="129" t="s">
        <v>28</v>
      </c>
      <c r="B16" s="130"/>
      <c r="C16" s="130"/>
      <c r="D16" s="130"/>
      <c r="E16" s="131"/>
      <c r="F16" s="21">
        <v>0</v>
      </c>
      <c r="G16" s="22" t="s">
        <v>4</v>
      </c>
      <c r="H16" s="22" t="s">
        <v>4</v>
      </c>
      <c r="I16" s="21">
        <f t="shared" si="0"/>
        <v>0</v>
      </c>
    </row>
    <row r="17" spans="1:9" x14ac:dyDescent="0.25">
      <c r="A17" s="129" t="s">
        <v>31</v>
      </c>
      <c r="B17" s="130"/>
      <c r="C17" s="130"/>
      <c r="D17" s="130"/>
      <c r="E17" s="131"/>
      <c r="F17" s="21">
        <v>0</v>
      </c>
      <c r="G17" s="22" t="s">
        <v>4</v>
      </c>
      <c r="H17" s="22" t="s">
        <v>4</v>
      </c>
      <c r="I17" s="21">
        <f t="shared" si="0"/>
        <v>0</v>
      </c>
    </row>
    <row r="18" spans="1:9" x14ac:dyDescent="0.25">
      <c r="A18" s="129" t="s">
        <v>33</v>
      </c>
      <c r="B18" s="130"/>
      <c r="C18" s="130"/>
      <c r="D18" s="130"/>
      <c r="E18" s="131"/>
      <c r="F18" s="21">
        <v>0</v>
      </c>
      <c r="G18" s="22" t="s">
        <v>4</v>
      </c>
      <c r="H18" s="22" t="s">
        <v>4</v>
      </c>
      <c r="I18" s="21">
        <f t="shared" si="0"/>
        <v>0</v>
      </c>
    </row>
    <row r="19" spans="1:9" x14ac:dyDescent="0.25">
      <c r="A19" s="129" t="s">
        <v>36</v>
      </c>
      <c r="B19" s="130"/>
      <c r="C19" s="130"/>
      <c r="D19" s="130"/>
      <c r="E19" s="131"/>
      <c r="F19" s="21">
        <v>0</v>
      </c>
      <c r="G19" s="22" t="s">
        <v>4</v>
      </c>
      <c r="H19" s="22" t="s">
        <v>4</v>
      </c>
      <c r="I19" s="21">
        <f t="shared" si="0"/>
        <v>0</v>
      </c>
    </row>
    <row r="20" spans="1:9" x14ac:dyDescent="0.25">
      <c r="A20" s="132" t="s">
        <v>38</v>
      </c>
      <c r="B20" s="133"/>
      <c r="C20" s="133"/>
      <c r="D20" s="133"/>
      <c r="E20" s="134"/>
      <c r="F20" s="23">
        <v>0</v>
      </c>
      <c r="G20" s="24" t="s">
        <v>4</v>
      </c>
      <c r="H20" s="24" t="s">
        <v>4</v>
      </c>
      <c r="I20" s="23">
        <f t="shared" si="0"/>
        <v>0</v>
      </c>
    </row>
    <row r="21" spans="1:9" x14ac:dyDescent="0.25">
      <c r="A21" s="135" t="s">
        <v>60</v>
      </c>
      <c r="B21" s="136"/>
      <c r="C21" s="136"/>
      <c r="D21" s="136"/>
      <c r="E21" s="137"/>
      <c r="F21" s="25" t="s">
        <v>4</v>
      </c>
      <c r="G21" s="26" t="s">
        <v>4</v>
      </c>
      <c r="H21" s="26" t="s">
        <v>4</v>
      </c>
      <c r="I21" s="27">
        <f>SUM(I15:I20)</f>
        <v>0</v>
      </c>
    </row>
    <row r="23" spans="1:9" x14ac:dyDescent="0.25">
      <c r="A23" s="126" t="s">
        <v>22</v>
      </c>
      <c r="B23" s="127"/>
      <c r="C23" s="127"/>
      <c r="D23" s="127"/>
      <c r="E23" s="128"/>
      <c r="F23" s="20" t="s">
        <v>57</v>
      </c>
      <c r="G23" s="20" t="s">
        <v>58</v>
      </c>
      <c r="H23" s="20" t="s">
        <v>59</v>
      </c>
      <c r="I23" s="20" t="s">
        <v>57</v>
      </c>
    </row>
    <row r="24" spans="1:9" x14ac:dyDescent="0.25">
      <c r="A24" s="129" t="s">
        <v>26</v>
      </c>
      <c r="B24" s="130"/>
      <c r="C24" s="130"/>
      <c r="D24" s="130"/>
      <c r="E24" s="131"/>
      <c r="F24" s="21">
        <v>0</v>
      </c>
      <c r="G24" s="22" t="s">
        <v>4</v>
      </c>
      <c r="H24" s="22" t="s">
        <v>4</v>
      </c>
      <c r="I24" s="21">
        <f t="shared" ref="I24:I29" si="1">F24</f>
        <v>0</v>
      </c>
    </row>
    <row r="25" spans="1:9" x14ac:dyDescent="0.25">
      <c r="A25" s="129" t="s">
        <v>29</v>
      </c>
      <c r="B25" s="130"/>
      <c r="C25" s="130"/>
      <c r="D25" s="130"/>
      <c r="E25" s="131"/>
      <c r="F25" s="21">
        <v>0</v>
      </c>
      <c r="G25" s="22" t="s">
        <v>4</v>
      </c>
      <c r="H25" s="22" t="s">
        <v>4</v>
      </c>
      <c r="I25" s="21">
        <f t="shared" si="1"/>
        <v>0</v>
      </c>
    </row>
    <row r="26" spans="1:9" x14ac:dyDescent="0.25">
      <c r="A26" s="129" t="s">
        <v>32</v>
      </c>
      <c r="B26" s="130"/>
      <c r="C26" s="130"/>
      <c r="D26" s="130"/>
      <c r="E26" s="131"/>
      <c r="F26" s="21">
        <v>0</v>
      </c>
      <c r="G26" s="22" t="s">
        <v>4</v>
      </c>
      <c r="H26" s="22" t="s">
        <v>4</v>
      </c>
      <c r="I26" s="21">
        <f t="shared" si="1"/>
        <v>0</v>
      </c>
    </row>
    <row r="27" spans="1:9" x14ac:dyDescent="0.25">
      <c r="A27" s="129" t="s">
        <v>34</v>
      </c>
      <c r="B27" s="130"/>
      <c r="C27" s="130"/>
      <c r="D27" s="130"/>
      <c r="E27" s="131"/>
      <c r="F27" s="21">
        <v>0</v>
      </c>
      <c r="G27" s="22" t="s">
        <v>4</v>
      </c>
      <c r="H27" s="22" t="s">
        <v>4</v>
      </c>
      <c r="I27" s="21">
        <f t="shared" si="1"/>
        <v>0</v>
      </c>
    </row>
    <row r="28" spans="1:9" x14ac:dyDescent="0.25">
      <c r="A28" s="129" t="s">
        <v>37</v>
      </c>
      <c r="B28" s="130"/>
      <c r="C28" s="130"/>
      <c r="D28" s="130"/>
      <c r="E28" s="131"/>
      <c r="F28" s="21">
        <v>0</v>
      </c>
      <c r="G28" s="22" t="s">
        <v>4</v>
      </c>
      <c r="H28" s="22" t="s">
        <v>4</v>
      </c>
      <c r="I28" s="21">
        <f t="shared" si="1"/>
        <v>0</v>
      </c>
    </row>
    <row r="29" spans="1:9" x14ac:dyDescent="0.25">
      <c r="A29" s="132" t="s">
        <v>39</v>
      </c>
      <c r="B29" s="133"/>
      <c r="C29" s="133"/>
      <c r="D29" s="133"/>
      <c r="E29" s="134"/>
      <c r="F29" s="23">
        <v>0</v>
      </c>
      <c r="G29" s="24" t="s">
        <v>4</v>
      </c>
      <c r="H29" s="24" t="s">
        <v>4</v>
      </c>
      <c r="I29" s="23">
        <f t="shared" si="1"/>
        <v>0</v>
      </c>
    </row>
    <row r="30" spans="1:9" x14ac:dyDescent="0.25">
      <c r="A30" s="135" t="s">
        <v>61</v>
      </c>
      <c r="B30" s="136"/>
      <c r="C30" s="136"/>
      <c r="D30" s="136"/>
      <c r="E30" s="137"/>
      <c r="F30" s="25" t="s">
        <v>4</v>
      </c>
      <c r="G30" s="26" t="s">
        <v>4</v>
      </c>
      <c r="H30" s="26" t="s">
        <v>4</v>
      </c>
      <c r="I30" s="27">
        <f>SUM(I24:I29)</f>
        <v>0</v>
      </c>
    </row>
    <row r="32" spans="1:9" ht="15.75" x14ac:dyDescent="0.25">
      <c r="A32" s="138" t="s">
        <v>62</v>
      </c>
      <c r="B32" s="139"/>
      <c r="C32" s="139"/>
      <c r="D32" s="139"/>
      <c r="E32" s="140"/>
      <c r="F32" s="141">
        <f>I21+I30</f>
        <v>0</v>
      </c>
      <c r="G32" s="142"/>
      <c r="H32" s="142"/>
      <c r="I32" s="143"/>
    </row>
    <row r="36" spans="1:9" ht="15.75" x14ac:dyDescent="0.25">
      <c r="A36" s="125" t="s">
        <v>63</v>
      </c>
      <c r="B36" s="125"/>
      <c r="C36" s="125"/>
      <c r="D36" s="125"/>
      <c r="E36" s="125"/>
    </row>
    <row r="37" spans="1:9" x14ac:dyDescent="0.25">
      <c r="A37" s="126" t="s">
        <v>64</v>
      </c>
      <c r="B37" s="127"/>
      <c r="C37" s="127"/>
      <c r="D37" s="127"/>
      <c r="E37" s="128"/>
      <c r="F37" s="20" t="s">
        <v>57</v>
      </c>
      <c r="G37" s="20" t="s">
        <v>58</v>
      </c>
      <c r="H37" s="20" t="s">
        <v>59</v>
      </c>
      <c r="I37" s="20" t="s">
        <v>57</v>
      </c>
    </row>
    <row r="38" spans="1:9" x14ac:dyDescent="0.25">
      <c r="A38" s="132" t="s">
        <v>4</v>
      </c>
      <c r="B38" s="133"/>
      <c r="C38" s="133"/>
      <c r="D38" s="133"/>
      <c r="E38" s="134"/>
      <c r="F38" s="23">
        <v>0</v>
      </c>
      <c r="G38" s="24" t="s">
        <v>4</v>
      </c>
      <c r="H38" s="24" t="s">
        <v>4</v>
      </c>
      <c r="I38" s="23">
        <f>F38</f>
        <v>0</v>
      </c>
    </row>
    <row r="39" spans="1:9" x14ac:dyDescent="0.25">
      <c r="A39" s="135" t="s">
        <v>65</v>
      </c>
      <c r="B39" s="136"/>
      <c r="C39" s="136"/>
      <c r="D39" s="136"/>
      <c r="E39" s="137"/>
      <c r="F39" s="25" t="s">
        <v>4</v>
      </c>
      <c r="G39" s="26" t="s">
        <v>4</v>
      </c>
      <c r="H39" s="26" t="s">
        <v>4</v>
      </c>
      <c r="I39" s="27">
        <f>SUM(I38:I38)</f>
        <v>0</v>
      </c>
    </row>
  </sheetData>
  <sheetProtection password="CC59" sheet="1"/>
  <mergeCells count="54">
    <mergeCell ref="A36:E36"/>
    <mergeCell ref="A37:E37"/>
    <mergeCell ref="A38:E38"/>
    <mergeCell ref="A39:E39"/>
    <mergeCell ref="A28:E28"/>
    <mergeCell ref="A29:E29"/>
    <mergeCell ref="A30:E30"/>
    <mergeCell ref="A32:E32"/>
    <mergeCell ref="F32:I32"/>
    <mergeCell ref="A23:E23"/>
    <mergeCell ref="A24:E24"/>
    <mergeCell ref="A25:E25"/>
    <mergeCell ref="A26:E26"/>
    <mergeCell ref="A27:E27"/>
    <mergeCell ref="A17:E17"/>
    <mergeCell ref="A18:E18"/>
    <mergeCell ref="A19:E19"/>
    <mergeCell ref="A20:E20"/>
    <mergeCell ref="A21:E21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Z209"/>
  <sheetViews>
    <sheetView workbookViewId="0">
      <pane ySplit="11" topLeftCell="A12" activePane="bottomLeft" state="frozen"/>
      <selection pane="bottomLeft" activeCell="A209" sqref="A209:K209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6.4257812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74" t="s">
        <v>66</v>
      </c>
      <c r="B1" s="74"/>
      <c r="C1" s="74"/>
      <c r="D1" s="74"/>
      <c r="E1" s="74"/>
      <c r="F1" s="74"/>
      <c r="G1" s="74"/>
      <c r="H1" s="74"/>
      <c r="I1" s="74"/>
      <c r="J1" s="74"/>
      <c r="K1" s="74"/>
      <c r="AS1" s="28">
        <f>SUM(AJ1:AJ2)</f>
        <v>0</v>
      </c>
      <c r="AT1" s="28">
        <f>SUM(AK1:AK2)</f>
        <v>0</v>
      </c>
      <c r="AU1" s="28">
        <f>SUM(AL1:AL2)</f>
        <v>0</v>
      </c>
    </row>
    <row r="2" spans="1:76" x14ac:dyDescent="0.25">
      <c r="A2" s="75" t="s">
        <v>1</v>
      </c>
      <c r="B2" s="76"/>
      <c r="C2" s="84" t="s">
        <v>67</v>
      </c>
      <c r="D2" s="85"/>
      <c r="E2" s="76" t="s">
        <v>68</v>
      </c>
      <c r="F2" s="76"/>
      <c r="G2" s="146" t="s">
        <v>69</v>
      </c>
      <c r="H2" s="82" t="s">
        <v>2</v>
      </c>
      <c r="I2" s="76" t="s">
        <v>70</v>
      </c>
      <c r="J2" s="76"/>
      <c r="K2" s="87"/>
    </row>
    <row r="3" spans="1:76" x14ac:dyDescent="0.25">
      <c r="A3" s="77"/>
      <c r="B3" s="78"/>
      <c r="C3" s="86"/>
      <c r="D3" s="86"/>
      <c r="E3" s="78"/>
      <c r="F3" s="78"/>
      <c r="G3" s="147"/>
      <c r="H3" s="78"/>
      <c r="I3" s="78"/>
      <c r="J3" s="78"/>
      <c r="K3" s="88"/>
    </row>
    <row r="4" spans="1:76" x14ac:dyDescent="0.25">
      <c r="A4" s="79" t="s">
        <v>5</v>
      </c>
      <c r="B4" s="78"/>
      <c r="C4" s="83" t="s">
        <v>71</v>
      </c>
      <c r="D4" s="78"/>
      <c r="E4" s="78" t="s">
        <v>10</v>
      </c>
      <c r="F4" s="78"/>
      <c r="G4" s="147" t="s">
        <v>69</v>
      </c>
      <c r="H4" s="83" t="s">
        <v>6</v>
      </c>
      <c r="I4" s="83" t="s">
        <v>72</v>
      </c>
      <c r="J4" s="78"/>
      <c r="K4" s="88"/>
    </row>
    <row r="5" spans="1:76" x14ac:dyDescent="0.25">
      <c r="A5" s="77"/>
      <c r="B5" s="78"/>
      <c r="C5" s="78"/>
      <c r="D5" s="78"/>
      <c r="E5" s="78"/>
      <c r="F5" s="78"/>
      <c r="G5" s="147"/>
      <c r="H5" s="78"/>
      <c r="I5" s="78"/>
      <c r="J5" s="78"/>
      <c r="K5" s="88"/>
    </row>
    <row r="6" spans="1:76" x14ac:dyDescent="0.25">
      <c r="A6" s="79" t="s">
        <v>8</v>
      </c>
      <c r="B6" s="78"/>
      <c r="C6" s="83" t="s">
        <v>69</v>
      </c>
      <c r="D6" s="78"/>
      <c r="E6" s="78" t="s">
        <v>11</v>
      </c>
      <c r="F6" s="78"/>
      <c r="G6" s="147" t="s">
        <v>69</v>
      </c>
      <c r="H6" s="83" t="s">
        <v>9</v>
      </c>
      <c r="I6" s="147" t="s">
        <v>70</v>
      </c>
      <c r="J6" s="147"/>
      <c r="K6" s="149"/>
    </row>
    <row r="7" spans="1:76" x14ac:dyDescent="0.25">
      <c r="A7" s="77"/>
      <c r="B7" s="78"/>
      <c r="C7" s="78"/>
      <c r="D7" s="78"/>
      <c r="E7" s="78"/>
      <c r="F7" s="78"/>
      <c r="G7" s="147"/>
      <c r="H7" s="78"/>
      <c r="I7" s="147"/>
      <c r="J7" s="147"/>
      <c r="K7" s="149"/>
    </row>
    <row r="8" spans="1:76" x14ac:dyDescent="0.25">
      <c r="A8" s="79" t="s">
        <v>13</v>
      </c>
      <c r="B8" s="78"/>
      <c r="C8" s="83" t="s">
        <v>69</v>
      </c>
      <c r="D8" s="78"/>
      <c r="E8" s="78" t="s">
        <v>73</v>
      </c>
      <c r="F8" s="78"/>
      <c r="G8" s="147" t="s">
        <v>74</v>
      </c>
      <c r="H8" s="83" t="s">
        <v>14</v>
      </c>
      <c r="I8" s="150" t="s">
        <v>75</v>
      </c>
      <c r="J8" s="147"/>
      <c r="K8" s="149"/>
    </row>
    <row r="9" spans="1:76" x14ac:dyDescent="0.25">
      <c r="A9" s="144"/>
      <c r="B9" s="145"/>
      <c r="C9" s="145"/>
      <c r="D9" s="145"/>
      <c r="E9" s="145"/>
      <c r="F9" s="145"/>
      <c r="G9" s="148"/>
      <c r="H9" s="145"/>
      <c r="I9" s="148"/>
      <c r="J9" s="148"/>
      <c r="K9" s="151"/>
    </row>
    <row r="10" spans="1:76" x14ac:dyDescent="0.25">
      <c r="A10" s="29" t="s">
        <v>76</v>
      </c>
      <c r="B10" s="30" t="s">
        <v>77</v>
      </c>
      <c r="C10" s="152" t="s">
        <v>78</v>
      </c>
      <c r="D10" s="153"/>
      <c r="E10" s="30" t="s">
        <v>79</v>
      </c>
      <c r="F10" s="31" t="s">
        <v>80</v>
      </c>
      <c r="G10" s="32" t="s">
        <v>81</v>
      </c>
      <c r="H10" s="156" t="s">
        <v>82</v>
      </c>
      <c r="I10" s="157"/>
      <c r="J10" s="158"/>
      <c r="K10" s="33" t="s">
        <v>83</v>
      </c>
      <c r="BK10" s="34" t="s">
        <v>84</v>
      </c>
      <c r="BL10" s="35" t="s">
        <v>85</v>
      </c>
      <c r="BW10" s="35" t="s">
        <v>86</v>
      </c>
    </row>
    <row r="11" spans="1:76" x14ac:dyDescent="0.25">
      <c r="A11" s="36" t="s">
        <v>69</v>
      </c>
      <c r="B11" s="37" t="s">
        <v>69</v>
      </c>
      <c r="C11" s="154" t="s">
        <v>87</v>
      </c>
      <c r="D11" s="155"/>
      <c r="E11" s="37" t="s">
        <v>69</v>
      </c>
      <c r="F11" s="37" t="s">
        <v>69</v>
      </c>
      <c r="G11" s="38" t="s">
        <v>88</v>
      </c>
      <c r="H11" s="39" t="s">
        <v>89</v>
      </c>
      <c r="I11" s="40" t="s">
        <v>27</v>
      </c>
      <c r="J11" s="41" t="s">
        <v>90</v>
      </c>
      <c r="K11" s="42" t="s">
        <v>91</v>
      </c>
      <c r="Z11" s="34" t="s">
        <v>92</v>
      </c>
      <c r="AA11" s="34" t="s">
        <v>93</v>
      </c>
      <c r="AB11" s="34" t="s">
        <v>94</v>
      </c>
      <c r="AC11" s="34" t="s">
        <v>95</v>
      </c>
      <c r="AD11" s="34" t="s">
        <v>96</v>
      </c>
      <c r="AE11" s="34" t="s">
        <v>97</v>
      </c>
      <c r="AF11" s="34" t="s">
        <v>98</v>
      </c>
      <c r="AG11" s="34" t="s">
        <v>99</v>
      </c>
      <c r="AH11" s="34" t="s">
        <v>100</v>
      </c>
      <c r="BH11" s="34" t="s">
        <v>101</v>
      </c>
      <c r="BI11" s="34" t="s">
        <v>102</v>
      </c>
      <c r="BJ11" s="34" t="s">
        <v>103</v>
      </c>
    </row>
    <row r="12" spans="1:76" x14ac:dyDescent="0.25">
      <c r="A12" s="43" t="s">
        <v>4</v>
      </c>
      <c r="B12" s="44" t="s">
        <v>4</v>
      </c>
      <c r="C12" s="159" t="s">
        <v>104</v>
      </c>
      <c r="D12" s="160"/>
      <c r="E12" s="45" t="s">
        <v>69</v>
      </c>
      <c r="F12" s="45" t="s">
        <v>69</v>
      </c>
      <c r="G12" s="46" t="s">
        <v>69</v>
      </c>
      <c r="H12" s="47">
        <f>H13+H18+H22+H26+H29+H33+H40</f>
        <v>0</v>
      </c>
      <c r="I12" s="47">
        <f>I13+I18+I22+I26+I29+I33+I40</f>
        <v>0</v>
      </c>
      <c r="J12" s="47">
        <f>J13+J18+J22+J26+J29+J33+J40</f>
        <v>0</v>
      </c>
      <c r="K12" s="48" t="s">
        <v>4</v>
      </c>
    </row>
    <row r="13" spans="1:76" x14ac:dyDescent="0.25">
      <c r="A13" s="49" t="s">
        <v>4</v>
      </c>
      <c r="B13" s="50" t="s">
        <v>105</v>
      </c>
      <c r="C13" s="161" t="s">
        <v>106</v>
      </c>
      <c r="D13" s="162"/>
      <c r="E13" s="51" t="s">
        <v>69</v>
      </c>
      <c r="F13" s="51" t="s">
        <v>69</v>
      </c>
      <c r="G13" s="52" t="s">
        <v>69</v>
      </c>
      <c r="H13" s="28">
        <f>SUM(H14:H17)</f>
        <v>0</v>
      </c>
      <c r="I13" s="28">
        <f>SUM(I14:I17)</f>
        <v>0</v>
      </c>
      <c r="J13" s="28">
        <f>SUM(J14:J17)</f>
        <v>0</v>
      </c>
      <c r="K13" s="53" t="s">
        <v>4</v>
      </c>
      <c r="AI13" s="34" t="s">
        <v>107</v>
      </c>
      <c r="AS13" s="28">
        <f>SUM(AJ14:AJ17)</f>
        <v>0</v>
      </c>
      <c r="AT13" s="28">
        <f>SUM(AK14:AK17)</f>
        <v>0</v>
      </c>
      <c r="AU13" s="28">
        <f>SUM(AL14:AL17)</f>
        <v>0</v>
      </c>
    </row>
    <row r="14" spans="1:76" x14ac:dyDescent="0.25">
      <c r="A14" s="1" t="s">
        <v>108</v>
      </c>
      <c r="B14" s="2" t="s">
        <v>109</v>
      </c>
      <c r="C14" s="83" t="s">
        <v>110</v>
      </c>
      <c r="D14" s="78"/>
      <c r="E14" s="2" t="s">
        <v>111</v>
      </c>
      <c r="F14" s="54">
        <v>2</v>
      </c>
      <c r="G14" s="55">
        <v>0</v>
      </c>
      <c r="H14" s="54">
        <f>ROUND(F14*AO14,2)</f>
        <v>0</v>
      </c>
      <c r="I14" s="54">
        <f>ROUND(F14*AP14,2)</f>
        <v>0</v>
      </c>
      <c r="J14" s="54">
        <f>ROUND(F14*G14,2)</f>
        <v>0</v>
      </c>
      <c r="K14" s="56" t="s">
        <v>4</v>
      </c>
      <c r="Z14" s="54">
        <f>ROUND(IF(AQ14="5",BJ14,0),2)</f>
        <v>0</v>
      </c>
      <c r="AB14" s="54">
        <f>ROUND(IF(AQ14="1",BH14,0),2)</f>
        <v>0</v>
      </c>
      <c r="AC14" s="54">
        <f>ROUND(IF(AQ14="1",BI14,0),2)</f>
        <v>0</v>
      </c>
      <c r="AD14" s="54">
        <f>ROUND(IF(AQ14="7",BH14,0),2)</f>
        <v>0</v>
      </c>
      <c r="AE14" s="54">
        <f>ROUND(IF(AQ14="7",BI14,0),2)</f>
        <v>0</v>
      </c>
      <c r="AF14" s="54">
        <f>ROUND(IF(AQ14="2",BH14,0),2)</f>
        <v>0</v>
      </c>
      <c r="AG14" s="54">
        <f>ROUND(IF(AQ14="2",BI14,0),2)</f>
        <v>0</v>
      </c>
      <c r="AH14" s="54">
        <f>ROUND(IF(AQ14="0",BJ14,0),2)</f>
        <v>0</v>
      </c>
      <c r="AI14" s="34" t="s">
        <v>107</v>
      </c>
      <c r="AJ14" s="54">
        <f>IF(AN14=0,J14,0)</f>
        <v>0</v>
      </c>
      <c r="AK14" s="54">
        <f>IF(AN14=0,J14,0)</f>
        <v>0</v>
      </c>
      <c r="AL14" s="54">
        <f>IF(AN14=21,J14,0)</f>
        <v>0</v>
      </c>
      <c r="AN14" s="54">
        <v>21</v>
      </c>
      <c r="AO14" s="54">
        <f>G14*0</f>
        <v>0</v>
      </c>
      <c r="AP14" s="54">
        <f>G14*(1-0)</f>
        <v>0</v>
      </c>
      <c r="AQ14" s="57" t="s">
        <v>108</v>
      </c>
      <c r="AV14" s="54">
        <f>ROUND(AW14+AX14,2)</f>
        <v>0</v>
      </c>
      <c r="AW14" s="54">
        <f>ROUND(F14*AO14,2)</f>
        <v>0</v>
      </c>
      <c r="AX14" s="54">
        <f>ROUND(F14*AP14,2)</f>
        <v>0</v>
      </c>
      <c r="AY14" s="57" t="s">
        <v>112</v>
      </c>
      <c r="AZ14" s="57" t="s">
        <v>113</v>
      </c>
      <c r="BA14" s="34" t="s">
        <v>114</v>
      </c>
      <c r="BC14" s="54">
        <f>AW14+AX14</f>
        <v>0</v>
      </c>
      <c r="BD14" s="54">
        <f>G14/(100-BE14)*100</f>
        <v>0</v>
      </c>
      <c r="BE14" s="54">
        <v>0</v>
      </c>
      <c r="BF14" s="54">
        <f>14</f>
        <v>14</v>
      </c>
      <c r="BH14" s="54">
        <f>F14*AO14</f>
        <v>0</v>
      </c>
      <c r="BI14" s="54">
        <f>F14*AP14</f>
        <v>0</v>
      </c>
      <c r="BJ14" s="54">
        <f>F14*G14</f>
        <v>0</v>
      </c>
      <c r="BK14" s="57" t="s">
        <v>115</v>
      </c>
      <c r="BL14" s="54"/>
      <c r="BW14" s="54">
        <v>21</v>
      </c>
      <c r="BX14" s="3" t="s">
        <v>110</v>
      </c>
    </row>
    <row r="15" spans="1:76" x14ac:dyDescent="0.25">
      <c r="A15" s="1" t="s">
        <v>116</v>
      </c>
      <c r="B15" s="2" t="s">
        <v>117</v>
      </c>
      <c r="C15" s="83" t="s">
        <v>118</v>
      </c>
      <c r="D15" s="78"/>
      <c r="E15" s="2" t="s">
        <v>119</v>
      </c>
      <c r="F15" s="54">
        <v>40</v>
      </c>
      <c r="G15" s="55">
        <v>0</v>
      </c>
      <c r="H15" s="54">
        <f>ROUND(F15*AO15,2)</f>
        <v>0</v>
      </c>
      <c r="I15" s="54">
        <f>ROUND(F15*AP15,2)</f>
        <v>0</v>
      </c>
      <c r="J15" s="54">
        <f>ROUND(F15*G15,2)</f>
        <v>0</v>
      </c>
      <c r="K15" s="56" t="s">
        <v>120</v>
      </c>
      <c r="Z15" s="54">
        <f>ROUND(IF(AQ15="5",BJ15,0),2)</f>
        <v>0</v>
      </c>
      <c r="AB15" s="54">
        <f>ROUND(IF(AQ15="1",BH15,0),2)</f>
        <v>0</v>
      </c>
      <c r="AC15" s="54">
        <f>ROUND(IF(AQ15="1",BI15,0),2)</f>
        <v>0</v>
      </c>
      <c r="AD15" s="54">
        <f>ROUND(IF(AQ15="7",BH15,0),2)</f>
        <v>0</v>
      </c>
      <c r="AE15" s="54">
        <f>ROUND(IF(AQ15="7",BI15,0),2)</f>
        <v>0</v>
      </c>
      <c r="AF15" s="54">
        <f>ROUND(IF(AQ15="2",BH15,0),2)</f>
        <v>0</v>
      </c>
      <c r="AG15" s="54">
        <f>ROUND(IF(AQ15="2",BI15,0),2)</f>
        <v>0</v>
      </c>
      <c r="AH15" s="54">
        <f>ROUND(IF(AQ15="0",BJ15,0),2)</f>
        <v>0</v>
      </c>
      <c r="AI15" s="34" t="s">
        <v>107</v>
      </c>
      <c r="AJ15" s="54">
        <f>IF(AN15=0,J15,0)</f>
        <v>0</v>
      </c>
      <c r="AK15" s="54">
        <f>IF(AN15=0,J15,0)</f>
        <v>0</v>
      </c>
      <c r="AL15" s="54">
        <f>IF(AN15=21,J15,0)</f>
        <v>0</v>
      </c>
      <c r="AN15" s="54">
        <v>21</v>
      </c>
      <c r="AO15" s="54">
        <f>G15*0</f>
        <v>0</v>
      </c>
      <c r="AP15" s="54">
        <f>G15*(1-0)</f>
        <v>0</v>
      </c>
      <c r="AQ15" s="57" t="s">
        <v>108</v>
      </c>
      <c r="AV15" s="54">
        <f>ROUND(AW15+AX15,2)</f>
        <v>0</v>
      </c>
      <c r="AW15" s="54">
        <f>ROUND(F15*AO15,2)</f>
        <v>0</v>
      </c>
      <c r="AX15" s="54">
        <f>ROUND(F15*AP15,2)</f>
        <v>0</v>
      </c>
      <c r="AY15" s="57" t="s">
        <v>112</v>
      </c>
      <c r="AZ15" s="57" t="s">
        <v>113</v>
      </c>
      <c r="BA15" s="34" t="s">
        <v>114</v>
      </c>
      <c r="BC15" s="54">
        <f>AW15+AX15</f>
        <v>0</v>
      </c>
      <c r="BD15" s="54">
        <f>G15/(100-BE15)*100</f>
        <v>0</v>
      </c>
      <c r="BE15" s="54">
        <v>0</v>
      </c>
      <c r="BF15" s="54">
        <f>15</f>
        <v>15</v>
      </c>
      <c r="BH15" s="54">
        <f>F15*AO15</f>
        <v>0</v>
      </c>
      <c r="BI15" s="54">
        <f>F15*AP15</f>
        <v>0</v>
      </c>
      <c r="BJ15" s="54">
        <f>F15*G15</f>
        <v>0</v>
      </c>
      <c r="BK15" s="57" t="s">
        <v>115</v>
      </c>
      <c r="BL15" s="54"/>
      <c r="BW15" s="54">
        <v>21</v>
      </c>
      <c r="BX15" s="3" t="s">
        <v>118</v>
      </c>
    </row>
    <row r="16" spans="1:76" ht="25.5" x14ac:dyDescent="0.25">
      <c r="A16" s="1" t="s">
        <v>121</v>
      </c>
      <c r="B16" s="2" t="s">
        <v>122</v>
      </c>
      <c r="C16" s="83" t="s">
        <v>123</v>
      </c>
      <c r="D16" s="78"/>
      <c r="E16" s="2" t="s">
        <v>119</v>
      </c>
      <c r="F16" s="54">
        <v>0.08</v>
      </c>
      <c r="G16" s="55">
        <v>0</v>
      </c>
      <c r="H16" s="54">
        <f>ROUND(F16*AO16,2)</f>
        <v>0</v>
      </c>
      <c r="I16" s="54">
        <f>ROUND(F16*AP16,2)</f>
        <v>0</v>
      </c>
      <c r="J16" s="54">
        <f>ROUND(F16*G16,2)</f>
        <v>0</v>
      </c>
      <c r="K16" s="56" t="s">
        <v>4</v>
      </c>
      <c r="Z16" s="54">
        <f>ROUND(IF(AQ16="5",BJ16,0),2)</f>
        <v>0</v>
      </c>
      <c r="AB16" s="54">
        <f>ROUND(IF(AQ16="1",BH16,0),2)</f>
        <v>0</v>
      </c>
      <c r="AC16" s="54">
        <f>ROUND(IF(AQ16="1",BI16,0),2)</f>
        <v>0</v>
      </c>
      <c r="AD16" s="54">
        <f>ROUND(IF(AQ16="7",BH16,0),2)</f>
        <v>0</v>
      </c>
      <c r="AE16" s="54">
        <f>ROUND(IF(AQ16="7",BI16,0),2)</f>
        <v>0</v>
      </c>
      <c r="AF16" s="54">
        <f>ROUND(IF(AQ16="2",BH16,0),2)</f>
        <v>0</v>
      </c>
      <c r="AG16" s="54">
        <f>ROUND(IF(AQ16="2",BI16,0),2)</f>
        <v>0</v>
      </c>
      <c r="AH16" s="54">
        <f>ROUND(IF(AQ16="0",BJ16,0),2)</f>
        <v>0</v>
      </c>
      <c r="AI16" s="34" t="s">
        <v>107</v>
      </c>
      <c r="AJ16" s="54">
        <f>IF(AN16=0,J16,0)</f>
        <v>0</v>
      </c>
      <c r="AK16" s="54">
        <f>IF(AN16=0,J16,0)</f>
        <v>0</v>
      </c>
      <c r="AL16" s="54">
        <f>IF(AN16=21,J16,0)</f>
        <v>0</v>
      </c>
      <c r="AN16" s="54">
        <v>21</v>
      </c>
      <c r="AO16" s="54">
        <f>G16*0</f>
        <v>0</v>
      </c>
      <c r="AP16" s="54">
        <f>G16*(1-0)</f>
        <v>0</v>
      </c>
      <c r="AQ16" s="57" t="s">
        <v>108</v>
      </c>
      <c r="AV16" s="54">
        <f>ROUND(AW16+AX16,2)</f>
        <v>0</v>
      </c>
      <c r="AW16" s="54">
        <f>ROUND(F16*AO16,2)</f>
        <v>0</v>
      </c>
      <c r="AX16" s="54">
        <f>ROUND(F16*AP16,2)</f>
        <v>0</v>
      </c>
      <c r="AY16" s="57" t="s">
        <v>112</v>
      </c>
      <c r="AZ16" s="57" t="s">
        <v>113</v>
      </c>
      <c r="BA16" s="34" t="s">
        <v>114</v>
      </c>
      <c r="BC16" s="54">
        <f>AW16+AX16</f>
        <v>0</v>
      </c>
      <c r="BD16" s="54">
        <f>G16/(100-BE16)*100</f>
        <v>0</v>
      </c>
      <c r="BE16" s="54">
        <v>0</v>
      </c>
      <c r="BF16" s="54">
        <f>16</f>
        <v>16</v>
      </c>
      <c r="BH16" s="54">
        <f>F16*AO16</f>
        <v>0</v>
      </c>
      <c r="BI16" s="54">
        <f>F16*AP16</f>
        <v>0</v>
      </c>
      <c r="BJ16" s="54">
        <f>F16*G16</f>
        <v>0</v>
      </c>
      <c r="BK16" s="57" t="s">
        <v>115</v>
      </c>
      <c r="BL16" s="54"/>
      <c r="BW16" s="54">
        <v>21</v>
      </c>
      <c r="BX16" s="3" t="s">
        <v>123</v>
      </c>
    </row>
    <row r="17" spans="1:76" ht="25.5" x14ac:dyDescent="0.25">
      <c r="A17" s="1" t="s">
        <v>124</v>
      </c>
      <c r="B17" s="2" t="s">
        <v>125</v>
      </c>
      <c r="C17" s="83" t="s">
        <v>126</v>
      </c>
      <c r="D17" s="78"/>
      <c r="E17" s="2" t="s">
        <v>111</v>
      </c>
      <c r="F17" s="54">
        <v>1</v>
      </c>
      <c r="G17" s="55">
        <v>0</v>
      </c>
      <c r="H17" s="54">
        <f>ROUND(F17*AO17,2)</f>
        <v>0</v>
      </c>
      <c r="I17" s="54">
        <f>ROUND(F17*AP17,2)</f>
        <v>0</v>
      </c>
      <c r="J17" s="54">
        <f>ROUND(F17*G17,2)</f>
        <v>0</v>
      </c>
      <c r="K17" s="56" t="s">
        <v>4</v>
      </c>
      <c r="Z17" s="54">
        <f>ROUND(IF(AQ17="5",BJ17,0),2)</f>
        <v>0</v>
      </c>
      <c r="AB17" s="54">
        <f>ROUND(IF(AQ17="1",BH17,0),2)</f>
        <v>0</v>
      </c>
      <c r="AC17" s="54">
        <f>ROUND(IF(AQ17="1",BI17,0),2)</f>
        <v>0</v>
      </c>
      <c r="AD17" s="54">
        <f>ROUND(IF(AQ17="7",BH17,0),2)</f>
        <v>0</v>
      </c>
      <c r="AE17" s="54">
        <f>ROUND(IF(AQ17="7",BI17,0),2)</f>
        <v>0</v>
      </c>
      <c r="AF17" s="54">
        <f>ROUND(IF(AQ17="2",BH17,0),2)</f>
        <v>0</v>
      </c>
      <c r="AG17" s="54">
        <f>ROUND(IF(AQ17="2",BI17,0),2)</f>
        <v>0</v>
      </c>
      <c r="AH17" s="54">
        <f>ROUND(IF(AQ17="0",BJ17,0),2)</f>
        <v>0</v>
      </c>
      <c r="AI17" s="34" t="s">
        <v>107</v>
      </c>
      <c r="AJ17" s="54">
        <f>IF(AN17=0,J17,0)</f>
        <v>0</v>
      </c>
      <c r="AK17" s="54">
        <f>IF(AN17=0,J17,0)</f>
        <v>0</v>
      </c>
      <c r="AL17" s="54">
        <f>IF(AN17=21,J17,0)</f>
        <v>0</v>
      </c>
      <c r="AN17" s="54">
        <v>21</v>
      </c>
      <c r="AO17" s="54">
        <f>G17*0</f>
        <v>0</v>
      </c>
      <c r="AP17" s="54">
        <f>G17*(1-0)</f>
        <v>0</v>
      </c>
      <c r="AQ17" s="57" t="s">
        <v>108</v>
      </c>
      <c r="AV17" s="54">
        <f>ROUND(AW17+AX17,2)</f>
        <v>0</v>
      </c>
      <c r="AW17" s="54">
        <f>ROUND(F17*AO17,2)</f>
        <v>0</v>
      </c>
      <c r="AX17" s="54">
        <f>ROUND(F17*AP17,2)</f>
        <v>0</v>
      </c>
      <c r="AY17" s="57" t="s">
        <v>112</v>
      </c>
      <c r="AZ17" s="57" t="s">
        <v>113</v>
      </c>
      <c r="BA17" s="34" t="s">
        <v>114</v>
      </c>
      <c r="BC17" s="54">
        <f>AW17+AX17</f>
        <v>0</v>
      </c>
      <c r="BD17" s="54">
        <f>G17/(100-BE17)*100</f>
        <v>0</v>
      </c>
      <c r="BE17" s="54">
        <v>0</v>
      </c>
      <c r="BF17" s="54">
        <f>17</f>
        <v>17</v>
      </c>
      <c r="BH17" s="54">
        <f>F17*AO17</f>
        <v>0</v>
      </c>
      <c r="BI17" s="54">
        <f>F17*AP17</f>
        <v>0</v>
      </c>
      <c r="BJ17" s="54">
        <f>F17*G17</f>
        <v>0</v>
      </c>
      <c r="BK17" s="57" t="s">
        <v>115</v>
      </c>
      <c r="BL17" s="54"/>
      <c r="BW17" s="54">
        <v>21</v>
      </c>
      <c r="BX17" s="3" t="s">
        <v>126</v>
      </c>
    </row>
    <row r="18" spans="1:76" x14ac:dyDescent="0.25">
      <c r="A18" s="49" t="s">
        <v>4</v>
      </c>
      <c r="B18" s="50" t="s">
        <v>127</v>
      </c>
      <c r="C18" s="161" t="s">
        <v>128</v>
      </c>
      <c r="D18" s="162"/>
      <c r="E18" s="51" t="s">
        <v>69</v>
      </c>
      <c r="F18" s="51" t="s">
        <v>69</v>
      </c>
      <c r="G18" s="52" t="s">
        <v>69</v>
      </c>
      <c r="H18" s="28">
        <f>SUM(H19:H21)</f>
        <v>0</v>
      </c>
      <c r="I18" s="28">
        <f>SUM(I19:I21)</f>
        <v>0</v>
      </c>
      <c r="J18" s="28">
        <f>SUM(J19:J21)</f>
        <v>0</v>
      </c>
      <c r="K18" s="53" t="s">
        <v>4</v>
      </c>
      <c r="AI18" s="34" t="s">
        <v>107</v>
      </c>
      <c r="AS18" s="28">
        <f>SUM(AJ19:AJ21)</f>
        <v>0</v>
      </c>
      <c r="AT18" s="28">
        <f>SUM(AK19:AK21)</f>
        <v>0</v>
      </c>
      <c r="AU18" s="28">
        <f>SUM(AL19:AL21)</f>
        <v>0</v>
      </c>
    </row>
    <row r="19" spans="1:76" x14ac:dyDescent="0.25">
      <c r="A19" s="1" t="s">
        <v>129</v>
      </c>
      <c r="B19" s="2" t="s">
        <v>130</v>
      </c>
      <c r="C19" s="83" t="s">
        <v>131</v>
      </c>
      <c r="D19" s="78"/>
      <c r="E19" s="2" t="s">
        <v>119</v>
      </c>
      <c r="F19" s="54">
        <v>99</v>
      </c>
      <c r="G19" s="55">
        <v>0</v>
      </c>
      <c r="H19" s="54">
        <f>ROUND(F19*AO19,2)</f>
        <v>0</v>
      </c>
      <c r="I19" s="54">
        <f>ROUND(F19*AP19,2)</f>
        <v>0</v>
      </c>
      <c r="J19" s="54">
        <f>ROUND(F19*G19,2)</f>
        <v>0</v>
      </c>
      <c r="K19" s="56" t="s">
        <v>120</v>
      </c>
      <c r="Z19" s="54">
        <f>ROUND(IF(AQ19="5",BJ19,0),2)</f>
        <v>0</v>
      </c>
      <c r="AB19" s="54">
        <f>ROUND(IF(AQ19="1",BH19,0),2)</f>
        <v>0</v>
      </c>
      <c r="AC19" s="54">
        <f>ROUND(IF(AQ19="1",BI19,0),2)</f>
        <v>0</v>
      </c>
      <c r="AD19" s="54">
        <f>ROUND(IF(AQ19="7",BH19,0),2)</f>
        <v>0</v>
      </c>
      <c r="AE19" s="54">
        <f>ROUND(IF(AQ19="7",BI19,0),2)</f>
        <v>0</v>
      </c>
      <c r="AF19" s="54">
        <f>ROUND(IF(AQ19="2",BH19,0),2)</f>
        <v>0</v>
      </c>
      <c r="AG19" s="54">
        <f>ROUND(IF(AQ19="2",BI19,0),2)</f>
        <v>0</v>
      </c>
      <c r="AH19" s="54">
        <f>ROUND(IF(AQ19="0",BJ19,0),2)</f>
        <v>0</v>
      </c>
      <c r="AI19" s="34" t="s">
        <v>107</v>
      </c>
      <c r="AJ19" s="54">
        <f>IF(AN19=0,J19,0)</f>
        <v>0</v>
      </c>
      <c r="AK19" s="54">
        <f>IF(AN19=0,J19,0)</f>
        <v>0</v>
      </c>
      <c r="AL19" s="54">
        <f>IF(AN19=21,J19,0)</f>
        <v>0</v>
      </c>
      <c r="AN19" s="54">
        <v>21</v>
      </c>
      <c r="AO19" s="54">
        <f>G19*0</f>
        <v>0</v>
      </c>
      <c r="AP19" s="54">
        <f>G19*(1-0)</f>
        <v>0</v>
      </c>
      <c r="AQ19" s="57" t="s">
        <v>108</v>
      </c>
      <c r="AV19" s="54">
        <f>ROUND(AW19+AX19,2)</f>
        <v>0</v>
      </c>
      <c r="AW19" s="54">
        <f>ROUND(F19*AO19,2)</f>
        <v>0</v>
      </c>
      <c r="AX19" s="54">
        <f>ROUND(F19*AP19,2)</f>
        <v>0</v>
      </c>
      <c r="AY19" s="57" t="s">
        <v>132</v>
      </c>
      <c r="AZ19" s="57" t="s">
        <v>113</v>
      </c>
      <c r="BA19" s="34" t="s">
        <v>114</v>
      </c>
      <c r="BC19" s="54">
        <f>AW19+AX19</f>
        <v>0</v>
      </c>
      <c r="BD19" s="54">
        <f>G19/(100-BE19)*100</f>
        <v>0</v>
      </c>
      <c r="BE19" s="54">
        <v>0</v>
      </c>
      <c r="BF19" s="54">
        <f>19</f>
        <v>19</v>
      </c>
      <c r="BH19" s="54">
        <f>F19*AO19</f>
        <v>0</v>
      </c>
      <c r="BI19" s="54">
        <f>F19*AP19</f>
        <v>0</v>
      </c>
      <c r="BJ19" s="54">
        <f>F19*G19</f>
        <v>0</v>
      </c>
      <c r="BK19" s="57" t="s">
        <v>115</v>
      </c>
      <c r="BL19" s="54">
        <v>11</v>
      </c>
      <c r="BW19" s="54">
        <v>21</v>
      </c>
      <c r="BX19" s="3" t="s">
        <v>131</v>
      </c>
    </row>
    <row r="20" spans="1:76" ht="25.5" x14ac:dyDescent="0.25">
      <c r="A20" s="1" t="s">
        <v>133</v>
      </c>
      <c r="B20" s="2" t="s">
        <v>134</v>
      </c>
      <c r="C20" s="83" t="s">
        <v>135</v>
      </c>
      <c r="D20" s="78"/>
      <c r="E20" s="2" t="s">
        <v>136</v>
      </c>
      <c r="F20" s="54">
        <v>0.68200000000000005</v>
      </c>
      <c r="G20" s="55">
        <v>0</v>
      </c>
      <c r="H20" s="54">
        <f>ROUND(F20*AO20,2)</f>
        <v>0</v>
      </c>
      <c r="I20" s="54">
        <f>ROUND(F20*AP20,2)</f>
        <v>0</v>
      </c>
      <c r="J20" s="54">
        <f>ROUND(F20*G20,2)</f>
        <v>0</v>
      </c>
      <c r="K20" s="56" t="s">
        <v>120</v>
      </c>
      <c r="Z20" s="54">
        <f>ROUND(IF(AQ20="5",BJ20,0),2)</f>
        <v>0</v>
      </c>
      <c r="AB20" s="54">
        <f>ROUND(IF(AQ20="1",BH20,0),2)</f>
        <v>0</v>
      </c>
      <c r="AC20" s="54">
        <f>ROUND(IF(AQ20="1",BI20,0),2)</f>
        <v>0</v>
      </c>
      <c r="AD20" s="54">
        <f>ROUND(IF(AQ20="7",BH20,0),2)</f>
        <v>0</v>
      </c>
      <c r="AE20" s="54">
        <f>ROUND(IF(AQ20="7",BI20,0),2)</f>
        <v>0</v>
      </c>
      <c r="AF20" s="54">
        <f>ROUND(IF(AQ20="2",BH20,0),2)</f>
        <v>0</v>
      </c>
      <c r="AG20" s="54">
        <f>ROUND(IF(AQ20="2",BI20,0),2)</f>
        <v>0</v>
      </c>
      <c r="AH20" s="54">
        <f>ROUND(IF(AQ20="0",BJ20,0),2)</f>
        <v>0</v>
      </c>
      <c r="AI20" s="34" t="s">
        <v>107</v>
      </c>
      <c r="AJ20" s="54">
        <f>IF(AN20=0,J20,0)</f>
        <v>0</v>
      </c>
      <c r="AK20" s="54">
        <f>IF(AN20=0,J20,0)</f>
        <v>0</v>
      </c>
      <c r="AL20" s="54">
        <f>IF(AN20=21,J20,0)</f>
        <v>0</v>
      </c>
      <c r="AN20" s="54">
        <v>21</v>
      </c>
      <c r="AO20" s="54">
        <f>G20*0.011524418</f>
        <v>0</v>
      </c>
      <c r="AP20" s="54">
        <f>G20*(1-0.011524418)</f>
        <v>0</v>
      </c>
      <c r="AQ20" s="57" t="s">
        <v>129</v>
      </c>
      <c r="AV20" s="54">
        <f>ROUND(AW20+AX20,2)</f>
        <v>0</v>
      </c>
      <c r="AW20" s="54">
        <f>ROUND(F20*AO20,2)</f>
        <v>0</v>
      </c>
      <c r="AX20" s="54">
        <f>ROUND(F20*AP20,2)</f>
        <v>0</v>
      </c>
      <c r="AY20" s="57" t="s">
        <v>132</v>
      </c>
      <c r="AZ20" s="57" t="s">
        <v>113</v>
      </c>
      <c r="BA20" s="34" t="s">
        <v>114</v>
      </c>
      <c r="BC20" s="54">
        <f>AW20+AX20</f>
        <v>0</v>
      </c>
      <c r="BD20" s="54">
        <f>G20/(100-BE20)*100</f>
        <v>0</v>
      </c>
      <c r="BE20" s="54">
        <v>0</v>
      </c>
      <c r="BF20" s="54">
        <f>20</f>
        <v>20</v>
      </c>
      <c r="BH20" s="54">
        <f>F20*AO20</f>
        <v>0</v>
      </c>
      <c r="BI20" s="54">
        <f>F20*AP20</f>
        <v>0</v>
      </c>
      <c r="BJ20" s="54">
        <f>F20*G20</f>
        <v>0</v>
      </c>
      <c r="BK20" s="57" t="s">
        <v>115</v>
      </c>
      <c r="BL20" s="54">
        <v>11</v>
      </c>
      <c r="BW20" s="54">
        <v>21</v>
      </c>
      <c r="BX20" s="3" t="s">
        <v>135</v>
      </c>
    </row>
    <row r="21" spans="1:76" x14ac:dyDescent="0.25">
      <c r="A21" s="1" t="s">
        <v>137</v>
      </c>
      <c r="B21" s="2" t="s">
        <v>138</v>
      </c>
      <c r="C21" s="83" t="s">
        <v>139</v>
      </c>
      <c r="D21" s="78"/>
      <c r="E21" s="2" t="s">
        <v>136</v>
      </c>
      <c r="F21" s="54">
        <v>0.68200000000000005</v>
      </c>
      <c r="G21" s="55">
        <v>0</v>
      </c>
      <c r="H21" s="54">
        <f>ROUND(F21*AO21,2)</f>
        <v>0</v>
      </c>
      <c r="I21" s="54">
        <f>ROUND(F21*AP21,2)</f>
        <v>0</v>
      </c>
      <c r="J21" s="54">
        <f>ROUND(F21*G21,2)</f>
        <v>0</v>
      </c>
      <c r="K21" s="56" t="s">
        <v>120</v>
      </c>
      <c r="Z21" s="54">
        <f>ROUND(IF(AQ21="5",BJ21,0),2)</f>
        <v>0</v>
      </c>
      <c r="AB21" s="54">
        <f>ROUND(IF(AQ21="1",BH21,0),2)</f>
        <v>0</v>
      </c>
      <c r="AC21" s="54">
        <f>ROUND(IF(AQ21="1",BI21,0),2)</f>
        <v>0</v>
      </c>
      <c r="AD21" s="54">
        <f>ROUND(IF(AQ21="7",BH21,0),2)</f>
        <v>0</v>
      </c>
      <c r="AE21" s="54">
        <f>ROUND(IF(AQ21="7",BI21,0),2)</f>
        <v>0</v>
      </c>
      <c r="AF21" s="54">
        <f>ROUND(IF(AQ21="2",BH21,0),2)</f>
        <v>0</v>
      </c>
      <c r="AG21" s="54">
        <f>ROUND(IF(AQ21="2",BI21,0),2)</f>
        <v>0</v>
      </c>
      <c r="AH21" s="54">
        <f>ROUND(IF(AQ21="0",BJ21,0),2)</f>
        <v>0</v>
      </c>
      <c r="AI21" s="34" t="s">
        <v>107</v>
      </c>
      <c r="AJ21" s="54">
        <f>IF(AN21=0,J21,0)</f>
        <v>0</v>
      </c>
      <c r="AK21" s="54">
        <f>IF(AN21=0,J21,0)</f>
        <v>0</v>
      </c>
      <c r="AL21" s="54">
        <f>IF(AN21=21,J21,0)</f>
        <v>0</v>
      </c>
      <c r="AN21" s="54">
        <v>21</v>
      </c>
      <c r="AO21" s="54">
        <f>G21*0</f>
        <v>0</v>
      </c>
      <c r="AP21" s="54">
        <f>G21*(1-0)</f>
        <v>0</v>
      </c>
      <c r="AQ21" s="57" t="s">
        <v>129</v>
      </c>
      <c r="AV21" s="54">
        <f>ROUND(AW21+AX21,2)</f>
        <v>0</v>
      </c>
      <c r="AW21" s="54">
        <f>ROUND(F21*AO21,2)</f>
        <v>0</v>
      </c>
      <c r="AX21" s="54">
        <f>ROUND(F21*AP21,2)</f>
        <v>0</v>
      </c>
      <c r="AY21" s="57" t="s">
        <v>132</v>
      </c>
      <c r="AZ21" s="57" t="s">
        <v>113</v>
      </c>
      <c r="BA21" s="34" t="s">
        <v>114</v>
      </c>
      <c r="BC21" s="54">
        <f>AW21+AX21</f>
        <v>0</v>
      </c>
      <c r="BD21" s="54">
        <f>G21/(100-BE21)*100</f>
        <v>0</v>
      </c>
      <c r="BE21" s="54">
        <v>0</v>
      </c>
      <c r="BF21" s="54">
        <f>21</f>
        <v>21</v>
      </c>
      <c r="BH21" s="54">
        <f>F21*AO21</f>
        <v>0</v>
      </c>
      <c r="BI21" s="54">
        <f>F21*AP21</f>
        <v>0</v>
      </c>
      <c r="BJ21" s="54">
        <f>F21*G21</f>
        <v>0</v>
      </c>
      <c r="BK21" s="57" t="s">
        <v>115</v>
      </c>
      <c r="BL21" s="54">
        <v>11</v>
      </c>
      <c r="BW21" s="54">
        <v>21</v>
      </c>
      <c r="BX21" s="3" t="s">
        <v>139</v>
      </c>
    </row>
    <row r="22" spans="1:76" x14ac:dyDescent="0.25">
      <c r="A22" s="49" t="s">
        <v>4</v>
      </c>
      <c r="B22" s="50" t="s">
        <v>140</v>
      </c>
      <c r="C22" s="161" t="s">
        <v>141</v>
      </c>
      <c r="D22" s="162"/>
      <c r="E22" s="51" t="s">
        <v>69</v>
      </c>
      <c r="F22" s="51" t="s">
        <v>69</v>
      </c>
      <c r="G22" s="52" t="s">
        <v>69</v>
      </c>
      <c r="H22" s="28">
        <f>SUM(H23:H25)</f>
        <v>0</v>
      </c>
      <c r="I22" s="28">
        <f>SUM(I23:I25)</f>
        <v>0</v>
      </c>
      <c r="J22" s="28">
        <f>SUM(J23:J25)</f>
        <v>0</v>
      </c>
      <c r="K22" s="53" t="s">
        <v>4</v>
      </c>
      <c r="AI22" s="34" t="s">
        <v>107</v>
      </c>
      <c r="AS22" s="28">
        <f>SUM(AJ23:AJ25)</f>
        <v>0</v>
      </c>
      <c r="AT22" s="28">
        <f>SUM(AK23:AK25)</f>
        <v>0</v>
      </c>
      <c r="AU22" s="28">
        <f>SUM(AL23:AL25)</f>
        <v>0</v>
      </c>
    </row>
    <row r="23" spans="1:76" x14ac:dyDescent="0.25">
      <c r="A23" s="1" t="s">
        <v>142</v>
      </c>
      <c r="B23" s="2" t="s">
        <v>143</v>
      </c>
      <c r="C23" s="83" t="s">
        <v>144</v>
      </c>
      <c r="D23" s="78"/>
      <c r="E23" s="2" t="s">
        <v>119</v>
      </c>
      <c r="F23" s="54">
        <v>40</v>
      </c>
      <c r="G23" s="55">
        <v>0</v>
      </c>
      <c r="H23" s="54">
        <f>ROUND(F23*AO23,2)</f>
        <v>0</v>
      </c>
      <c r="I23" s="54">
        <f>ROUND(F23*AP23,2)</f>
        <v>0</v>
      </c>
      <c r="J23" s="54">
        <f>ROUND(F23*G23,2)</f>
        <v>0</v>
      </c>
      <c r="K23" s="56" t="s">
        <v>120</v>
      </c>
      <c r="Z23" s="54">
        <f>ROUND(IF(AQ23="5",BJ23,0),2)</f>
        <v>0</v>
      </c>
      <c r="AB23" s="54">
        <f>ROUND(IF(AQ23="1",BH23,0),2)</f>
        <v>0</v>
      </c>
      <c r="AC23" s="54">
        <f>ROUND(IF(AQ23="1",BI23,0),2)</f>
        <v>0</v>
      </c>
      <c r="AD23" s="54">
        <f>ROUND(IF(AQ23="7",BH23,0),2)</f>
        <v>0</v>
      </c>
      <c r="AE23" s="54">
        <f>ROUND(IF(AQ23="7",BI23,0),2)</f>
        <v>0</v>
      </c>
      <c r="AF23" s="54">
        <f>ROUND(IF(AQ23="2",BH23,0),2)</f>
        <v>0</v>
      </c>
      <c r="AG23" s="54">
        <f>ROUND(IF(AQ23="2",BI23,0),2)</f>
        <v>0</v>
      </c>
      <c r="AH23" s="54">
        <f>ROUND(IF(AQ23="0",BJ23,0),2)</f>
        <v>0</v>
      </c>
      <c r="AI23" s="34" t="s">
        <v>107</v>
      </c>
      <c r="AJ23" s="54">
        <f>IF(AN23=0,J23,0)</f>
        <v>0</v>
      </c>
      <c r="AK23" s="54">
        <f>IF(AN23=0,J23,0)</f>
        <v>0</v>
      </c>
      <c r="AL23" s="54">
        <f>IF(AN23=21,J23,0)</f>
        <v>0</v>
      </c>
      <c r="AN23" s="54">
        <v>21</v>
      </c>
      <c r="AO23" s="54">
        <f>G23*0</f>
        <v>0</v>
      </c>
      <c r="AP23" s="54">
        <f>G23*(1-0)</f>
        <v>0</v>
      </c>
      <c r="AQ23" s="57" t="s">
        <v>108</v>
      </c>
      <c r="AV23" s="54">
        <f>ROUND(AW23+AX23,2)</f>
        <v>0</v>
      </c>
      <c r="AW23" s="54">
        <f>ROUND(F23*AO23,2)</f>
        <v>0</v>
      </c>
      <c r="AX23" s="54">
        <f>ROUND(F23*AP23,2)</f>
        <v>0</v>
      </c>
      <c r="AY23" s="57" t="s">
        <v>145</v>
      </c>
      <c r="AZ23" s="57" t="s">
        <v>113</v>
      </c>
      <c r="BA23" s="34" t="s">
        <v>114</v>
      </c>
      <c r="BC23" s="54">
        <f>AW23+AX23</f>
        <v>0</v>
      </c>
      <c r="BD23" s="54">
        <f>G23/(100-BE23)*100</f>
        <v>0</v>
      </c>
      <c r="BE23" s="54">
        <v>0</v>
      </c>
      <c r="BF23" s="54">
        <f>23</f>
        <v>23</v>
      </c>
      <c r="BH23" s="54">
        <f>F23*AO23</f>
        <v>0</v>
      </c>
      <c r="BI23" s="54">
        <f>F23*AP23</f>
        <v>0</v>
      </c>
      <c r="BJ23" s="54">
        <f>F23*G23</f>
        <v>0</v>
      </c>
      <c r="BK23" s="57" t="s">
        <v>115</v>
      </c>
      <c r="BL23" s="54">
        <v>16</v>
      </c>
      <c r="BW23" s="54">
        <v>21</v>
      </c>
      <c r="BX23" s="3" t="s">
        <v>144</v>
      </c>
    </row>
    <row r="24" spans="1:76" x14ac:dyDescent="0.25">
      <c r="A24" s="1" t="s">
        <v>146</v>
      </c>
      <c r="B24" s="2" t="s">
        <v>147</v>
      </c>
      <c r="C24" s="83" t="s">
        <v>148</v>
      </c>
      <c r="D24" s="78"/>
      <c r="E24" s="2" t="s">
        <v>111</v>
      </c>
      <c r="F24" s="54">
        <v>1</v>
      </c>
      <c r="G24" s="55">
        <v>0</v>
      </c>
      <c r="H24" s="54">
        <f>ROUND(F24*AO24,2)</f>
        <v>0</v>
      </c>
      <c r="I24" s="54">
        <f>ROUND(F24*AP24,2)</f>
        <v>0</v>
      </c>
      <c r="J24" s="54">
        <f>ROUND(F24*G24,2)</f>
        <v>0</v>
      </c>
      <c r="K24" s="56" t="s">
        <v>120</v>
      </c>
      <c r="Z24" s="54">
        <f>ROUND(IF(AQ24="5",BJ24,0),2)</f>
        <v>0</v>
      </c>
      <c r="AB24" s="54">
        <f>ROUND(IF(AQ24="1",BH24,0),2)</f>
        <v>0</v>
      </c>
      <c r="AC24" s="54">
        <f>ROUND(IF(AQ24="1",BI24,0),2)</f>
        <v>0</v>
      </c>
      <c r="AD24" s="54">
        <f>ROUND(IF(AQ24="7",BH24,0),2)</f>
        <v>0</v>
      </c>
      <c r="AE24" s="54">
        <f>ROUND(IF(AQ24="7",BI24,0),2)</f>
        <v>0</v>
      </c>
      <c r="AF24" s="54">
        <f>ROUND(IF(AQ24="2",BH24,0),2)</f>
        <v>0</v>
      </c>
      <c r="AG24" s="54">
        <f>ROUND(IF(AQ24="2",BI24,0),2)</f>
        <v>0</v>
      </c>
      <c r="AH24" s="54">
        <f>ROUND(IF(AQ24="0",BJ24,0),2)</f>
        <v>0</v>
      </c>
      <c r="AI24" s="34" t="s">
        <v>107</v>
      </c>
      <c r="AJ24" s="54">
        <f>IF(AN24=0,J24,0)</f>
        <v>0</v>
      </c>
      <c r="AK24" s="54">
        <f>IF(AN24=0,J24,0)</f>
        <v>0</v>
      </c>
      <c r="AL24" s="54">
        <f>IF(AN24=21,J24,0)</f>
        <v>0</v>
      </c>
      <c r="AN24" s="54">
        <v>21</v>
      </c>
      <c r="AO24" s="54">
        <f>G24*0</f>
        <v>0</v>
      </c>
      <c r="AP24" s="54">
        <f>G24*(1-0)</f>
        <v>0</v>
      </c>
      <c r="AQ24" s="57" t="s">
        <v>108</v>
      </c>
      <c r="AV24" s="54">
        <f>ROUND(AW24+AX24,2)</f>
        <v>0</v>
      </c>
      <c r="AW24" s="54">
        <f>ROUND(F24*AO24,2)</f>
        <v>0</v>
      </c>
      <c r="AX24" s="54">
        <f>ROUND(F24*AP24,2)</f>
        <v>0</v>
      </c>
      <c r="AY24" s="57" t="s">
        <v>145</v>
      </c>
      <c r="AZ24" s="57" t="s">
        <v>113</v>
      </c>
      <c r="BA24" s="34" t="s">
        <v>114</v>
      </c>
      <c r="BC24" s="54">
        <f>AW24+AX24</f>
        <v>0</v>
      </c>
      <c r="BD24" s="54">
        <f>G24/(100-BE24)*100</f>
        <v>0</v>
      </c>
      <c r="BE24" s="54">
        <v>0</v>
      </c>
      <c r="BF24" s="54">
        <f>24</f>
        <v>24</v>
      </c>
      <c r="BH24" s="54">
        <f>F24*AO24</f>
        <v>0</v>
      </c>
      <c r="BI24" s="54">
        <f>F24*AP24</f>
        <v>0</v>
      </c>
      <c r="BJ24" s="54">
        <f>F24*G24</f>
        <v>0</v>
      </c>
      <c r="BK24" s="57" t="s">
        <v>115</v>
      </c>
      <c r="BL24" s="54">
        <v>16</v>
      </c>
      <c r="BW24" s="54">
        <v>21</v>
      </c>
      <c r="BX24" s="3" t="s">
        <v>148</v>
      </c>
    </row>
    <row r="25" spans="1:76" x14ac:dyDescent="0.25">
      <c r="A25" s="1" t="s">
        <v>149</v>
      </c>
      <c r="B25" s="2" t="s">
        <v>150</v>
      </c>
      <c r="C25" s="83" t="s">
        <v>151</v>
      </c>
      <c r="D25" s="78"/>
      <c r="E25" s="2" t="s">
        <v>111</v>
      </c>
      <c r="F25" s="54">
        <v>2</v>
      </c>
      <c r="G25" s="55">
        <v>0</v>
      </c>
      <c r="H25" s="54">
        <f>ROUND(F25*AO25,2)</f>
        <v>0</v>
      </c>
      <c r="I25" s="54">
        <f>ROUND(F25*AP25,2)</f>
        <v>0</v>
      </c>
      <c r="J25" s="54">
        <f>ROUND(F25*G25,2)</f>
        <v>0</v>
      </c>
      <c r="K25" s="56" t="s">
        <v>120</v>
      </c>
      <c r="Z25" s="54">
        <f>ROUND(IF(AQ25="5",BJ25,0),2)</f>
        <v>0</v>
      </c>
      <c r="AB25" s="54">
        <f>ROUND(IF(AQ25="1",BH25,0),2)</f>
        <v>0</v>
      </c>
      <c r="AC25" s="54">
        <f>ROUND(IF(AQ25="1",BI25,0),2)</f>
        <v>0</v>
      </c>
      <c r="AD25" s="54">
        <f>ROUND(IF(AQ25="7",BH25,0),2)</f>
        <v>0</v>
      </c>
      <c r="AE25" s="54">
        <f>ROUND(IF(AQ25="7",BI25,0),2)</f>
        <v>0</v>
      </c>
      <c r="AF25" s="54">
        <f>ROUND(IF(AQ25="2",BH25,0),2)</f>
        <v>0</v>
      </c>
      <c r="AG25" s="54">
        <f>ROUND(IF(AQ25="2",BI25,0),2)</f>
        <v>0</v>
      </c>
      <c r="AH25" s="54">
        <f>ROUND(IF(AQ25="0",BJ25,0),2)</f>
        <v>0</v>
      </c>
      <c r="AI25" s="34" t="s">
        <v>107</v>
      </c>
      <c r="AJ25" s="54">
        <f>IF(AN25=0,J25,0)</f>
        <v>0</v>
      </c>
      <c r="AK25" s="54">
        <f>IF(AN25=0,J25,0)</f>
        <v>0</v>
      </c>
      <c r="AL25" s="54">
        <f>IF(AN25=21,J25,0)</f>
        <v>0</v>
      </c>
      <c r="AN25" s="54">
        <v>21</v>
      </c>
      <c r="AO25" s="54">
        <f>G25*0</f>
        <v>0</v>
      </c>
      <c r="AP25" s="54">
        <f>G25*(1-0)</f>
        <v>0</v>
      </c>
      <c r="AQ25" s="57" t="s">
        <v>108</v>
      </c>
      <c r="AV25" s="54">
        <f>ROUND(AW25+AX25,2)</f>
        <v>0</v>
      </c>
      <c r="AW25" s="54">
        <f>ROUND(F25*AO25,2)</f>
        <v>0</v>
      </c>
      <c r="AX25" s="54">
        <f>ROUND(F25*AP25,2)</f>
        <v>0</v>
      </c>
      <c r="AY25" s="57" t="s">
        <v>145</v>
      </c>
      <c r="AZ25" s="57" t="s">
        <v>113</v>
      </c>
      <c r="BA25" s="34" t="s">
        <v>114</v>
      </c>
      <c r="BC25" s="54">
        <f>AW25+AX25</f>
        <v>0</v>
      </c>
      <c r="BD25" s="54">
        <f>G25/(100-BE25)*100</f>
        <v>0</v>
      </c>
      <c r="BE25" s="54">
        <v>0</v>
      </c>
      <c r="BF25" s="54">
        <f>25</f>
        <v>25</v>
      </c>
      <c r="BH25" s="54">
        <f>F25*AO25</f>
        <v>0</v>
      </c>
      <c r="BI25" s="54">
        <f>F25*AP25</f>
        <v>0</v>
      </c>
      <c r="BJ25" s="54">
        <f>F25*G25</f>
        <v>0</v>
      </c>
      <c r="BK25" s="57" t="s">
        <v>115</v>
      </c>
      <c r="BL25" s="54">
        <v>16</v>
      </c>
      <c r="BW25" s="54">
        <v>21</v>
      </c>
      <c r="BX25" s="3" t="s">
        <v>151</v>
      </c>
    </row>
    <row r="26" spans="1:76" x14ac:dyDescent="0.25">
      <c r="A26" s="49" t="s">
        <v>4</v>
      </c>
      <c r="B26" s="50" t="s">
        <v>152</v>
      </c>
      <c r="C26" s="161" t="s">
        <v>153</v>
      </c>
      <c r="D26" s="162"/>
      <c r="E26" s="51" t="s">
        <v>69</v>
      </c>
      <c r="F26" s="51" t="s">
        <v>69</v>
      </c>
      <c r="G26" s="52" t="s">
        <v>69</v>
      </c>
      <c r="H26" s="28">
        <f>SUM(H27:H28)</f>
        <v>0</v>
      </c>
      <c r="I26" s="28">
        <f>SUM(I27:I28)</f>
        <v>0</v>
      </c>
      <c r="J26" s="28">
        <f>SUM(J27:J28)</f>
        <v>0</v>
      </c>
      <c r="K26" s="53" t="s">
        <v>4</v>
      </c>
      <c r="AI26" s="34" t="s">
        <v>107</v>
      </c>
      <c r="AS26" s="28">
        <f>SUM(AJ27:AJ28)</f>
        <v>0</v>
      </c>
      <c r="AT26" s="28">
        <f>SUM(AK27:AK28)</f>
        <v>0</v>
      </c>
      <c r="AU26" s="28">
        <f>SUM(AL27:AL28)</f>
        <v>0</v>
      </c>
    </row>
    <row r="27" spans="1:76" x14ac:dyDescent="0.25">
      <c r="A27" s="1" t="s">
        <v>127</v>
      </c>
      <c r="B27" s="2" t="s">
        <v>154</v>
      </c>
      <c r="C27" s="83" t="s">
        <v>155</v>
      </c>
      <c r="D27" s="78"/>
      <c r="E27" s="2" t="s">
        <v>119</v>
      </c>
      <c r="F27" s="54">
        <v>8.1000000000000003E-2</v>
      </c>
      <c r="G27" s="55">
        <v>0</v>
      </c>
      <c r="H27" s="54">
        <f>ROUND(F27*AO27,2)</f>
        <v>0</v>
      </c>
      <c r="I27" s="54">
        <f>ROUND(F27*AP27,2)</f>
        <v>0</v>
      </c>
      <c r="J27" s="54">
        <f>ROUND(F27*G27,2)</f>
        <v>0</v>
      </c>
      <c r="K27" s="56" t="s">
        <v>4</v>
      </c>
      <c r="Z27" s="54">
        <f>ROUND(IF(AQ27="5",BJ27,0),2)</f>
        <v>0</v>
      </c>
      <c r="AB27" s="54">
        <f>ROUND(IF(AQ27="1",BH27,0),2)</f>
        <v>0</v>
      </c>
      <c r="AC27" s="54">
        <f>ROUND(IF(AQ27="1",BI27,0),2)</f>
        <v>0</v>
      </c>
      <c r="AD27" s="54">
        <f>ROUND(IF(AQ27="7",BH27,0),2)</f>
        <v>0</v>
      </c>
      <c r="AE27" s="54">
        <f>ROUND(IF(AQ27="7",BI27,0),2)</f>
        <v>0</v>
      </c>
      <c r="AF27" s="54">
        <f>ROUND(IF(AQ27="2",BH27,0),2)</f>
        <v>0</v>
      </c>
      <c r="AG27" s="54">
        <f>ROUND(IF(AQ27="2",BI27,0),2)</f>
        <v>0</v>
      </c>
      <c r="AH27" s="54">
        <f>ROUND(IF(AQ27="0",BJ27,0),2)</f>
        <v>0</v>
      </c>
      <c r="AI27" s="34" t="s">
        <v>107</v>
      </c>
      <c r="AJ27" s="54">
        <f>IF(AN27=0,J27,0)</f>
        <v>0</v>
      </c>
      <c r="AK27" s="54">
        <f>IF(AN27=0,J27,0)</f>
        <v>0</v>
      </c>
      <c r="AL27" s="54">
        <f>IF(AN27=21,J27,0)</f>
        <v>0</v>
      </c>
      <c r="AN27" s="54">
        <v>21</v>
      </c>
      <c r="AO27" s="54">
        <f>G27*0</f>
        <v>0</v>
      </c>
      <c r="AP27" s="54">
        <f>G27*(1-0)</f>
        <v>0</v>
      </c>
      <c r="AQ27" s="57" t="s">
        <v>108</v>
      </c>
      <c r="AV27" s="54">
        <f>ROUND(AW27+AX27,2)</f>
        <v>0</v>
      </c>
      <c r="AW27" s="54">
        <f>ROUND(F27*AO27,2)</f>
        <v>0</v>
      </c>
      <c r="AX27" s="54">
        <f>ROUND(F27*AP27,2)</f>
        <v>0</v>
      </c>
      <c r="AY27" s="57" t="s">
        <v>156</v>
      </c>
      <c r="AZ27" s="57" t="s">
        <v>113</v>
      </c>
      <c r="BA27" s="34" t="s">
        <v>114</v>
      </c>
      <c r="BC27" s="54">
        <f>AW27+AX27</f>
        <v>0</v>
      </c>
      <c r="BD27" s="54">
        <f>G27/(100-BE27)*100</f>
        <v>0</v>
      </c>
      <c r="BE27" s="54">
        <v>0</v>
      </c>
      <c r="BF27" s="54">
        <f>27</f>
        <v>27</v>
      </c>
      <c r="BH27" s="54">
        <f>F27*AO27</f>
        <v>0</v>
      </c>
      <c r="BI27" s="54">
        <f>F27*AP27</f>
        <v>0</v>
      </c>
      <c r="BJ27" s="54">
        <f>F27*G27</f>
        <v>0</v>
      </c>
      <c r="BK27" s="57" t="s">
        <v>115</v>
      </c>
      <c r="BL27" s="54"/>
      <c r="BW27" s="54">
        <v>21</v>
      </c>
      <c r="BX27" s="3" t="s">
        <v>155</v>
      </c>
    </row>
    <row r="28" spans="1:76" x14ac:dyDescent="0.25">
      <c r="A28" s="1" t="s">
        <v>157</v>
      </c>
      <c r="B28" s="2" t="s">
        <v>158</v>
      </c>
      <c r="C28" s="83" t="s">
        <v>159</v>
      </c>
      <c r="D28" s="78"/>
      <c r="E28" s="2" t="s">
        <v>119</v>
      </c>
      <c r="F28" s="54">
        <v>0.08</v>
      </c>
      <c r="G28" s="55">
        <v>0</v>
      </c>
      <c r="H28" s="54">
        <f>ROUND(F28*AO28,2)</f>
        <v>0</v>
      </c>
      <c r="I28" s="54">
        <f>ROUND(F28*AP28,2)</f>
        <v>0</v>
      </c>
      <c r="J28" s="54">
        <f>ROUND(F28*G28,2)</f>
        <v>0</v>
      </c>
      <c r="K28" s="56" t="s">
        <v>4</v>
      </c>
      <c r="Z28" s="54">
        <f>ROUND(IF(AQ28="5",BJ28,0),2)</f>
        <v>0</v>
      </c>
      <c r="AB28" s="54">
        <f>ROUND(IF(AQ28="1",BH28,0),2)</f>
        <v>0</v>
      </c>
      <c r="AC28" s="54">
        <f>ROUND(IF(AQ28="1",BI28,0),2)</f>
        <v>0</v>
      </c>
      <c r="AD28" s="54">
        <f>ROUND(IF(AQ28="7",BH28,0),2)</f>
        <v>0</v>
      </c>
      <c r="AE28" s="54">
        <f>ROUND(IF(AQ28="7",BI28,0),2)</f>
        <v>0</v>
      </c>
      <c r="AF28" s="54">
        <f>ROUND(IF(AQ28="2",BH28,0),2)</f>
        <v>0</v>
      </c>
      <c r="AG28" s="54">
        <f>ROUND(IF(AQ28="2",BI28,0),2)</f>
        <v>0</v>
      </c>
      <c r="AH28" s="54">
        <f>ROUND(IF(AQ28="0",BJ28,0),2)</f>
        <v>0</v>
      </c>
      <c r="AI28" s="34" t="s">
        <v>107</v>
      </c>
      <c r="AJ28" s="54">
        <f>IF(AN28=0,J28,0)</f>
        <v>0</v>
      </c>
      <c r="AK28" s="54">
        <f>IF(AN28=0,J28,0)</f>
        <v>0</v>
      </c>
      <c r="AL28" s="54">
        <f>IF(AN28=21,J28,0)</f>
        <v>0</v>
      </c>
      <c r="AN28" s="54">
        <v>21</v>
      </c>
      <c r="AO28" s="54">
        <f>G28*0</f>
        <v>0</v>
      </c>
      <c r="AP28" s="54">
        <f>G28*(1-0)</f>
        <v>0</v>
      </c>
      <c r="AQ28" s="57" t="s">
        <v>108</v>
      </c>
      <c r="AV28" s="54">
        <f>ROUND(AW28+AX28,2)</f>
        <v>0</v>
      </c>
      <c r="AW28" s="54">
        <f>ROUND(F28*AO28,2)</f>
        <v>0</v>
      </c>
      <c r="AX28" s="54">
        <f>ROUND(F28*AP28,2)</f>
        <v>0</v>
      </c>
      <c r="AY28" s="57" t="s">
        <v>156</v>
      </c>
      <c r="AZ28" s="57" t="s">
        <v>113</v>
      </c>
      <c r="BA28" s="34" t="s">
        <v>114</v>
      </c>
      <c r="BC28" s="54">
        <f>AW28+AX28</f>
        <v>0</v>
      </c>
      <c r="BD28" s="54">
        <f>G28/(100-BE28)*100</f>
        <v>0</v>
      </c>
      <c r="BE28" s="54">
        <v>0</v>
      </c>
      <c r="BF28" s="54">
        <f>28</f>
        <v>28</v>
      </c>
      <c r="BH28" s="54">
        <f>F28*AO28</f>
        <v>0</v>
      </c>
      <c r="BI28" s="54">
        <f>F28*AP28</f>
        <v>0</v>
      </c>
      <c r="BJ28" s="54">
        <f>F28*G28</f>
        <v>0</v>
      </c>
      <c r="BK28" s="57" t="s">
        <v>115</v>
      </c>
      <c r="BL28" s="54"/>
      <c r="BW28" s="54">
        <v>21</v>
      </c>
      <c r="BX28" s="3" t="s">
        <v>159</v>
      </c>
    </row>
    <row r="29" spans="1:76" x14ac:dyDescent="0.25">
      <c r="A29" s="49" t="s">
        <v>4</v>
      </c>
      <c r="B29" s="50" t="s">
        <v>160</v>
      </c>
      <c r="C29" s="161" t="s">
        <v>161</v>
      </c>
      <c r="D29" s="162"/>
      <c r="E29" s="51" t="s">
        <v>69</v>
      </c>
      <c r="F29" s="51" t="s">
        <v>69</v>
      </c>
      <c r="G29" s="52" t="s">
        <v>69</v>
      </c>
      <c r="H29" s="28">
        <f>SUM(H30:H32)</f>
        <v>0</v>
      </c>
      <c r="I29" s="28">
        <f>SUM(I30:I32)</f>
        <v>0</v>
      </c>
      <c r="J29" s="28">
        <f>SUM(J30:J32)</f>
        <v>0</v>
      </c>
      <c r="K29" s="53" t="s">
        <v>4</v>
      </c>
      <c r="AI29" s="34" t="s">
        <v>107</v>
      </c>
      <c r="AS29" s="28">
        <f>SUM(AJ30:AJ32)</f>
        <v>0</v>
      </c>
      <c r="AT29" s="28">
        <f>SUM(AK30:AK32)</f>
        <v>0</v>
      </c>
      <c r="AU29" s="28">
        <f>SUM(AL30:AL32)</f>
        <v>0</v>
      </c>
    </row>
    <row r="30" spans="1:76" x14ac:dyDescent="0.25">
      <c r="A30" s="1" t="s">
        <v>162</v>
      </c>
      <c r="B30" s="2" t="s">
        <v>163</v>
      </c>
      <c r="C30" s="83" t="s">
        <v>164</v>
      </c>
      <c r="D30" s="78"/>
      <c r="E30" s="2" t="s">
        <v>165</v>
      </c>
      <c r="F30" s="54">
        <v>186.4</v>
      </c>
      <c r="G30" s="55">
        <v>0</v>
      </c>
      <c r="H30" s="54">
        <f>ROUND(F30*AO30,2)</f>
        <v>0</v>
      </c>
      <c r="I30" s="54">
        <f>ROUND(F30*AP30,2)</f>
        <v>0</v>
      </c>
      <c r="J30" s="54">
        <f>ROUND(F30*G30,2)</f>
        <v>0</v>
      </c>
      <c r="K30" s="56" t="s">
        <v>120</v>
      </c>
      <c r="Z30" s="54">
        <f>ROUND(IF(AQ30="5",BJ30,0),2)</f>
        <v>0</v>
      </c>
      <c r="AB30" s="54">
        <f>ROUND(IF(AQ30="1",BH30,0),2)</f>
        <v>0</v>
      </c>
      <c r="AC30" s="54">
        <f>ROUND(IF(AQ30="1",BI30,0),2)</f>
        <v>0</v>
      </c>
      <c r="AD30" s="54">
        <f>ROUND(IF(AQ30="7",BH30,0),2)</f>
        <v>0</v>
      </c>
      <c r="AE30" s="54">
        <f>ROUND(IF(AQ30="7",BI30,0),2)</f>
        <v>0</v>
      </c>
      <c r="AF30" s="54">
        <f>ROUND(IF(AQ30="2",BH30,0),2)</f>
        <v>0</v>
      </c>
      <c r="AG30" s="54">
        <f>ROUND(IF(AQ30="2",BI30,0),2)</f>
        <v>0</v>
      </c>
      <c r="AH30" s="54">
        <f>ROUND(IF(AQ30="0",BJ30,0),2)</f>
        <v>0</v>
      </c>
      <c r="AI30" s="34" t="s">
        <v>107</v>
      </c>
      <c r="AJ30" s="54">
        <f>IF(AN30=0,J30,0)</f>
        <v>0</v>
      </c>
      <c r="AK30" s="54">
        <f>IF(AN30=0,J30,0)</f>
        <v>0</v>
      </c>
      <c r="AL30" s="54">
        <f>IF(AN30=21,J30,0)</f>
        <v>0</v>
      </c>
      <c r="AN30" s="54">
        <v>21</v>
      </c>
      <c r="AO30" s="54">
        <f>G30*0</f>
        <v>0</v>
      </c>
      <c r="AP30" s="54">
        <f>G30*(1-0)</f>
        <v>0</v>
      </c>
      <c r="AQ30" s="57" t="s">
        <v>116</v>
      </c>
      <c r="AV30" s="54">
        <f>ROUND(AW30+AX30,2)</f>
        <v>0</v>
      </c>
      <c r="AW30" s="54">
        <f>ROUND(F30*AO30,2)</f>
        <v>0</v>
      </c>
      <c r="AX30" s="54">
        <f>ROUND(F30*AP30,2)</f>
        <v>0</v>
      </c>
      <c r="AY30" s="57" t="s">
        <v>166</v>
      </c>
      <c r="AZ30" s="57" t="s">
        <v>167</v>
      </c>
      <c r="BA30" s="34" t="s">
        <v>114</v>
      </c>
      <c r="BC30" s="54">
        <f>AW30+AX30</f>
        <v>0</v>
      </c>
      <c r="BD30" s="54">
        <f>G30/(100-BE30)*100</f>
        <v>0</v>
      </c>
      <c r="BE30" s="54">
        <v>0</v>
      </c>
      <c r="BF30" s="54">
        <f>30</f>
        <v>30</v>
      </c>
      <c r="BH30" s="54">
        <f>F30*AO30</f>
        <v>0</v>
      </c>
      <c r="BI30" s="54">
        <f>F30*AP30</f>
        <v>0</v>
      </c>
      <c r="BJ30" s="54">
        <f>F30*G30</f>
        <v>0</v>
      </c>
      <c r="BK30" s="57" t="s">
        <v>115</v>
      </c>
      <c r="BL30" s="54"/>
      <c r="BW30" s="54">
        <v>21</v>
      </c>
      <c r="BX30" s="3" t="s">
        <v>164</v>
      </c>
    </row>
    <row r="31" spans="1:76" ht="13.5" customHeight="1" x14ac:dyDescent="0.25">
      <c r="A31" s="58"/>
      <c r="B31" s="59" t="s">
        <v>53</v>
      </c>
      <c r="C31" s="163" t="s">
        <v>168</v>
      </c>
      <c r="D31" s="164"/>
      <c r="E31" s="164"/>
      <c r="F31" s="164"/>
      <c r="G31" s="165"/>
      <c r="H31" s="164"/>
      <c r="I31" s="164"/>
      <c r="J31" s="164"/>
      <c r="K31" s="166"/>
    </row>
    <row r="32" spans="1:76" x14ac:dyDescent="0.25">
      <c r="A32" s="1" t="s">
        <v>169</v>
      </c>
      <c r="B32" s="2" t="s">
        <v>170</v>
      </c>
      <c r="C32" s="83" t="s">
        <v>171</v>
      </c>
      <c r="D32" s="78"/>
      <c r="E32" s="2" t="s">
        <v>119</v>
      </c>
      <c r="F32" s="54">
        <v>184</v>
      </c>
      <c r="G32" s="55">
        <v>0</v>
      </c>
      <c r="H32" s="54">
        <f>ROUND(F32*AO32,2)</f>
        <v>0</v>
      </c>
      <c r="I32" s="54">
        <f>ROUND(F32*AP32,2)</f>
        <v>0</v>
      </c>
      <c r="J32" s="54">
        <f>ROUND(F32*G32,2)</f>
        <v>0</v>
      </c>
      <c r="K32" s="56" t="s">
        <v>120</v>
      </c>
      <c r="Z32" s="54">
        <f>ROUND(IF(AQ32="5",BJ32,0),2)</f>
        <v>0</v>
      </c>
      <c r="AB32" s="54">
        <f>ROUND(IF(AQ32="1",BH32,0),2)</f>
        <v>0</v>
      </c>
      <c r="AC32" s="54">
        <f>ROUND(IF(AQ32="1",BI32,0),2)</f>
        <v>0</v>
      </c>
      <c r="AD32" s="54">
        <f>ROUND(IF(AQ32="7",BH32,0),2)</f>
        <v>0</v>
      </c>
      <c r="AE32" s="54">
        <f>ROUND(IF(AQ32="7",BI32,0),2)</f>
        <v>0</v>
      </c>
      <c r="AF32" s="54">
        <f>ROUND(IF(AQ32="2",BH32,0),2)</f>
        <v>0</v>
      </c>
      <c r="AG32" s="54">
        <f>ROUND(IF(AQ32="2",BI32,0),2)</f>
        <v>0</v>
      </c>
      <c r="AH32" s="54">
        <f>ROUND(IF(AQ32="0",BJ32,0),2)</f>
        <v>0</v>
      </c>
      <c r="AI32" s="34" t="s">
        <v>107</v>
      </c>
      <c r="AJ32" s="54">
        <f>IF(AN32=0,J32,0)</f>
        <v>0</v>
      </c>
      <c r="AK32" s="54">
        <f>IF(AN32=0,J32,0)</f>
        <v>0</v>
      </c>
      <c r="AL32" s="54">
        <f>IF(AN32=21,J32,0)</f>
        <v>0</v>
      </c>
      <c r="AN32" s="54">
        <v>21</v>
      </c>
      <c r="AO32" s="54">
        <f>G32*0</f>
        <v>0</v>
      </c>
      <c r="AP32" s="54">
        <f>G32*(1-0)</f>
        <v>0</v>
      </c>
      <c r="AQ32" s="57" t="s">
        <v>108</v>
      </c>
      <c r="AV32" s="54">
        <f>ROUND(AW32+AX32,2)</f>
        <v>0</v>
      </c>
      <c r="AW32" s="54">
        <f>ROUND(F32*AO32,2)</f>
        <v>0</v>
      </c>
      <c r="AX32" s="54">
        <f>ROUND(F32*AP32,2)</f>
        <v>0</v>
      </c>
      <c r="AY32" s="57" t="s">
        <v>166</v>
      </c>
      <c r="AZ32" s="57" t="s">
        <v>167</v>
      </c>
      <c r="BA32" s="34" t="s">
        <v>114</v>
      </c>
      <c r="BC32" s="54">
        <f>AW32+AX32</f>
        <v>0</v>
      </c>
      <c r="BD32" s="54">
        <f>G32/(100-BE32)*100</f>
        <v>0</v>
      </c>
      <c r="BE32" s="54">
        <v>0</v>
      </c>
      <c r="BF32" s="54">
        <f>32</f>
        <v>32</v>
      </c>
      <c r="BH32" s="54">
        <f>F32*AO32</f>
        <v>0</v>
      </c>
      <c r="BI32" s="54">
        <f>F32*AP32</f>
        <v>0</v>
      </c>
      <c r="BJ32" s="54">
        <f>F32*G32</f>
        <v>0</v>
      </c>
      <c r="BK32" s="57" t="s">
        <v>115</v>
      </c>
      <c r="BL32" s="54"/>
      <c r="BW32" s="54">
        <v>21</v>
      </c>
      <c r="BX32" s="3" t="s">
        <v>171</v>
      </c>
    </row>
    <row r="33" spans="1:76" x14ac:dyDescent="0.25">
      <c r="A33" s="49" t="s">
        <v>4</v>
      </c>
      <c r="B33" s="50" t="s">
        <v>172</v>
      </c>
      <c r="C33" s="161" t="s">
        <v>173</v>
      </c>
      <c r="D33" s="162"/>
      <c r="E33" s="51" t="s">
        <v>69</v>
      </c>
      <c r="F33" s="51" t="s">
        <v>69</v>
      </c>
      <c r="G33" s="52" t="s">
        <v>69</v>
      </c>
      <c r="H33" s="28">
        <f>SUM(H34:H39)</f>
        <v>0</v>
      </c>
      <c r="I33" s="28">
        <f>SUM(I34:I39)</f>
        <v>0</v>
      </c>
      <c r="J33" s="28">
        <f>SUM(J34:J39)</f>
        <v>0</v>
      </c>
      <c r="K33" s="53" t="s">
        <v>4</v>
      </c>
      <c r="AI33" s="34" t="s">
        <v>107</v>
      </c>
      <c r="AS33" s="28">
        <f>SUM(AJ34:AJ39)</f>
        <v>0</v>
      </c>
      <c r="AT33" s="28">
        <f>SUM(AK34:AK39)</f>
        <v>0</v>
      </c>
      <c r="AU33" s="28">
        <f>SUM(AL34:AL39)</f>
        <v>0</v>
      </c>
    </row>
    <row r="34" spans="1:76" x14ac:dyDescent="0.25">
      <c r="A34" s="1" t="s">
        <v>174</v>
      </c>
      <c r="B34" s="2" t="s">
        <v>175</v>
      </c>
      <c r="C34" s="83" t="s">
        <v>176</v>
      </c>
      <c r="D34" s="78"/>
      <c r="E34" s="2" t="s">
        <v>177</v>
      </c>
      <c r="F34" s="54">
        <v>2.33</v>
      </c>
      <c r="G34" s="55">
        <v>0</v>
      </c>
      <c r="H34" s="54">
        <f t="shared" ref="H34:H39" si="0">ROUND(F34*AO34,2)</f>
        <v>0</v>
      </c>
      <c r="I34" s="54">
        <f t="shared" ref="I34:I39" si="1">ROUND(F34*AP34,2)</f>
        <v>0</v>
      </c>
      <c r="J34" s="54">
        <f t="shared" ref="J34:J39" si="2">ROUND(F34*G34,2)</f>
        <v>0</v>
      </c>
      <c r="K34" s="56" t="s">
        <v>120</v>
      </c>
      <c r="Z34" s="54">
        <f t="shared" ref="Z34:Z39" si="3">ROUND(IF(AQ34="5",BJ34,0),2)</f>
        <v>0</v>
      </c>
      <c r="AB34" s="54">
        <f t="shared" ref="AB34:AB39" si="4">ROUND(IF(AQ34="1",BH34,0),2)</f>
        <v>0</v>
      </c>
      <c r="AC34" s="54">
        <f t="shared" ref="AC34:AC39" si="5">ROUND(IF(AQ34="1",BI34,0),2)</f>
        <v>0</v>
      </c>
      <c r="AD34" s="54">
        <f t="shared" ref="AD34:AD39" si="6">ROUND(IF(AQ34="7",BH34,0),2)</f>
        <v>0</v>
      </c>
      <c r="AE34" s="54">
        <f t="shared" ref="AE34:AE39" si="7">ROUND(IF(AQ34="7",BI34,0),2)</f>
        <v>0</v>
      </c>
      <c r="AF34" s="54">
        <f t="shared" ref="AF34:AF39" si="8">ROUND(IF(AQ34="2",BH34,0),2)</f>
        <v>0</v>
      </c>
      <c r="AG34" s="54">
        <f t="shared" ref="AG34:AG39" si="9">ROUND(IF(AQ34="2",BI34,0),2)</f>
        <v>0</v>
      </c>
      <c r="AH34" s="54">
        <f t="shared" ref="AH34:AH39" si="10">ROUND(IF(AQ34="0",BJ34,0),2)</f>
        <v>0</v>
      </c>
      <c r="AI34" s="34" t="s">
        <v>107</v>
      </c>
      <c r="AJ34" s="54">
        <f t="shared" ref="AJ34:AJ39" si="11">IF(AN34=0,J34,0)</f>
        <v>0</v>
      </c>
      <c r="AK34" s="54">
        <f t="shared" ref="AK34:AK39" si="12">IF(AN34=0,J34,0)</f>
        <v>0</v>
      </c>
      <c r="AL34" s="54">
        <f t="shared" ref="AL34:AL39" si="13">IF(AN34=21,J34,0)</f>
        <v>0</v>
      </c>
      <c r="AN34" s="54">
        <v>21</v>
      </c>
      <c r="AO34" s="54">
        <f t="shared" ref="AO34:AO39" si="14">G34*0</f>
        <v>0</v>
      </c>
      <c r="AP34" s="54">
        <f t="shared" ref="AP34:AP39" si="15">G34*(1-0)</f>
        <v>0</v>
      </c>
      <c r="AQ34" s="57" t="s">
        <v>129</v>
      </c>
      <c r="AV34" s="54">
        <f t="shared" ref="AV34:AV39" si="16">ROUND(AW34+AX34,2)</f>
        <v>0</v>
      </c>
      <c r="AW34" s="54">
        <f t="shared" ref="AW34:AW39" si="17">ROUND(F34*AO34,2)</f>
        <v>0</v>
      </c>
      <c r="AX34" s="54">
        <f t="shared" ref="AX34:AX39" si="18">ROUND(F34*AP34,2)</f>
        <v>0</v>
      </c>
      <c r="AY34" s="57" t="s">
        <v>178</v>
      </c>
      <c r="AZ34" s="57" t="s">
        <v>167</v>
      </c>
      <c r="BA34" s="34" t="s">
        <v>114</v>
      </c>
      <c r="BC34" s="54">
        <f t="shared" ref="BC34:BC39" si="19">AW34+AX34</f>
        <v>0</v>
      </c>
      <c r="BD34" s="54">
        <f t="shared" ref="BD34:BD39" si="20">G34/(100-BE34)*100</f>
        <v>0</v>
      </c>
      <c r="BE34" s="54">
        <v>0</v>
      </c>
      <c r="BF34" s="54">
        <f>34</f>
        <v>34</v>
      </c>
      <c r="BH34" s="54">
        <f t="shared" ref="BH34:BH39" si="21">F34*AO34</f>
        <v>0</v>
      </c>
      <c r="BI34" s="54">
        <f t="shared" ref="BI34:BI39" si="22">F34*AP34</f>
        <v>0</v>
      </c>
      <c r="BJ34" s="54">
        <f t="shared" ref="BJ34:BJ39" si="23">F34*G34</f>
        <v>0</v>
      </c>
      <c r="BK34" s="57" t="s">
        <v>115</v>
      </c>
      <c r="BL34" s="54"/>
      <c r="BW34" s="54">
        <v>21</v>
      </c>
      <c r="BX34" s="3" t="s">
        <v>176</v>
      </c>
    </row>
    <row r="35" spans="1:76" x14ac:dyDescent="0.25">
      <c r="A35" s="1" t="s">
        <v>140</v>
      </c>
      <c r="B35" s="2" t="s">
        <v>138</v>
      </c>
      <c r="C35" s="83" t="s">
        <v>179</v>
      </c>
      <c r="D35" s="78"/>
      <c r="E35" s="2" t="s">
        <v>136</v>
      </c>
      <c r="F35" s="54">
        <v>2.15</v>
      </c>
      <c r="G35" s="55">
        <v>0</v>
      </c>
      <c r="H35" s="54">
        <f t="shared" si="0"/>
        <v>0</v>
      </c>
      <c r="I35" s="54">
        <f t="shared" si="1"/>
        <v>0</v>
      </c>
      <c r="J35" s="54">
        <f t="shared" si="2"/>
        <v>0</v>
      </c>
      <c r="K35" s="56" t="s">
        <v>120</v>
      </c>
      <c r="Z35" s="54">
        <f t="shared" si="3"/>
        <v>0</v>
      </c>
      <c r="AB35" s="54">
        <f t="shared" si="4"/>
        <v>0</v>
      </c>
      <c r="AC35" s="54">
        <f t="shared" si="5"/>
        <v>0</v>
      </c>
      <c r="AD35" s="54">
        <f t="shared" si="6"/>
        <v>0</v>
      </c>
      <c r="AE35" s="54">
        <f t="shared" si="7"/>
        <v>0</v>
      </c>
      <c r="AF35" s="54">
        <f t="shared" si="8"/>
        <v>0</v>
      </c>
      <c r="AG35" s="54">
        <f t="shared" si="9"/>
        <v>0</v>
      </c>
      <c r="AH35" s="54">
        <f t="shared" si="10"/>
        <v>0</v>
      </c>
      <c r="AI35" s="34" t="s">
        <v>107</v>
      </c>
      <c r="AJ35" s="54">
        <f t="shared" si="11"/>
        <v>0</v>
      </c>
      <c r="AK35" s="54">
        <f t="shared" si="12"/>
        <v>0</v>
      </c>
      <c r="AL35" s="54">
        <f t="shared" si="13"/>
        <v>0</v>
      </c>
      <c r="AN35" s="54">
        <v>21</v>
      </c>
      <c r="AO35" s="54">
        <f t="shared" si="14"/>
        <v>0</v>
      </c>
      <c r="AP35" s="54">
        <f t="shared" si="15"/>
        <v>0</v>
      </c>
      <c r="AQ35" s="57" t="s">
        <v>129</v>
      </c>
      <c r="AV35" s="54">
        <f t="shared" si="16"/>
        <v>0</v>
      </c>
      <c r="AW35" s="54">
        <f t="shared" si="17"/>
        <v>0</v>
      </c>
      <c r="AX35" s="54">
        <f t="shared" si="18"/>
        <v>0</v>
      </c>
      <c r="AY35" s="57" t="s">
        <v>178</v>
      </c>
      <c r="AZ35" s="57" t="s">
        <v>167</v>
      </c>
      <c r="BA35" s="34" t="s">
        <v>114</v>
      </c>
      <c r="BC35" s="54">
        <f t="shared" si="19"/>
        <v>0</v>
      </c>
      <c r="BD35" s="54">
        <f t="shared" si="20"/>
        <v>0</v>
      </c>
      <c r="BE35" s="54">
        <v>0</v>
      </c>
      <c r="BF35" s="54">
        <f>35</f>
        <v>35</v>
      </c>
      <c r="BH35" s="54">
        <f t="shared" si="21"/>
        <v>0</v>
      </c>
      <c r="BI35" s="54">
        <f t="shared" si="22"/>
        <v>0</v>
      </c>
      <c r="BJ35" s="54">
        <f t="shared" si="23"/>
        <v>0</v>
      </c>
      <c r="BK35" s="57" t="s">
        <v>115</v>
      </c>
      <c r="BL35" s="54"/>
      <c r="BW35" s="54">
        <v>21</v>
      </c>
      <c r="BX35" s="3" t="s">
        <v>179</v>
      </c>
    </row>
    <row r="36" spans="1:76" x14ac:dyDescent="0.25">
      <c r="A36" s="1" t="s">
        <v>180</v>
      </c>
      <c r="B36" s="2" t="s">
        <v>175</v>
      </c>
      <c r="C36" s="83" t="s">
        <v>181</v>
      </c>
      <c r="D36" s="78"/>
      <c r="E36" s="2" t="s">
        <v>177</v>
      </c>
      <c r="F36" s="54">
        <v>7</v>
      </c>
      <c r="G36" s="55">
        <v>0</v>
      </c>
      <c r="H36" s="54">
        <f t="shared" si="0"/>
        <v>0</v>
      </c>
      <c r="I36" s="54">
        <f t="shared" si="1"/>
        <v>0</v>
      </c>
      <c r="J36" s="54">
        <f t="shared" si="2"/>
        <v>0</v>
      </c>
      <c r="K36" s="56" t="s">
        <v>120</v>
      </c>
      <c r="Z36" s="54">
        <f t="shared" si="3"/>
        <v>0</v>
      </c>
      <c r="AB36" s="54">
        <f t="shared" si="4"/>
        <v>0</v>
      </c>
      <c r="AC36" s="54">
        <f t="shared" si="5"/>
        <v>0</v>
      </c>
      <c r="AD36" s="54">
        <f t="shared" si="6"/>
        <v>0</v>
      </c>
      <c r="AE36" s="54">
        <f t="shared" si="7"/>
        <v>0</v>
      </c>
      <c r="AF36" s="54">
        <f t="shared" si="8"/>
        <v>0</v>
      </c>
      <c r="AG36" s="54">
        <f t="shared" si="9"/>
        <v>0</v>
      </c>
      <c r="AH36" s="54">
        <f t="shared" si="10"/>
        <v>0</v>
      </c>
      <c r="AI36" s="34" t="s">
        <v>107</v>
      </c>
      <c r="AJ36" s="54">
        <f t="shared" si="11"/>
        <v>0</v>
      </c>
      <c r="AK36" s="54">
        <f t="shared" si="12"/>
        <v>0</v>
      </c>
      <c r="AL36" s="54">
        <f t="shared" si="13"/>
        <v>0</v>
      </c>
      <c r="AN36" s="54">
        <v>21</v>
      </c>
      <c r="AO36" s="54">
        <f t="shared" si="14"/>
        <v>0</v>
      </c>
      <c r="AP36" s="54">
        <f t="shared" si="15"/>
        <v>0</v>
      </c>
      <c r="AQ36" s="57" t="s">
        <v>129</v>
      </c>
      <c r="AV36" s="54">
        <f t="shared" si="16"/>
        <v>0</v>
      </c>
      <c r="AW36" s="54">
        <f t="shared" si="17"/>
        <v>0</v>
      </c>
      <c r="AX36" s="54">
        <f t="shared" si="18"/>
        <v>0</v>
      </c>
      <c r="AY36" s="57" t="s">
        <v>178</v>
      </c>
      <c r="AZ36" s="57" t="s">
        <v>167</v>
      </c>
      <c r="BA36" s="34" t="s">
        <v>114</v>
      </c>
      <c r="BC36" s="54">
        <f t="shared" si="19"/>
        <v>0</v>
      </c>
      <c r="BD36" s="54">
        <f t="shared" si="20"/>
        <v>0</v>
      </c>
      <c r="BE36" s="54">
        <v>0</v>
      </c>
      <c r="BF36" s="54">
        <f>36</f>
        <v>36</v>
      </c>
      <c r="BH36" s="54">
        <f t="shared" si="21"/>
        <v>0</v>
      </c>
      <c r="BI36" s="54">
        <f t="shared" si="22"/>
        <v>0</v>
      </c>
      <c r="BJ36" s="54">
        <f t="shared" si="23"/>
        <v>0</v>
      </c>
      <c r="BK36" s="57" t="s">
        <v>115</v>
      </c>
      <c r="BL36" s="54"/>
      <c r="BW36" s="54">
        <v>21</v>
      </c>
      <c r="BX36" s="3" t="s">
        <v>181</v>
      </c>
    </row>
    <row r="37" spans="1:76" x14ac:dyDescent="0.25">
      <c r="A37" s="1" t="s">
        <v>182</v>
      </c>
      <c r="B37" s="2" t="s">
        <v>138</v>
      </c>
      <c r="C37" s="83" t="s">
        <v>183</v>
      </c>
      <c r="D37" s="78"/>
      <c r="E37" s="2" t="s">
        <v>136</v>
      </c>
      <c r="F37" s="54">
        <v>16</v>
      </c>
      <c r="G37" s="55">
        <v>0</v>
      </c>
      <c r="H37" s="54">
        <f t="shared" si="0"/>
        <v>0</v>
      </c>
      <c r="I37" s="54">
        <f t="shared" si="1"/>
        <v>0</v>
      </c>
      <c r="J37" s="54">
        <f t="shared" si="2"/>
        <v>0</v>
      </c>
      <c r="K37" s="56" t="s">
        <v>120</v>
      </c>
      <c r="Z37" s="54">
        <f t="shared" si="3"/>
        <v>0</v>
      </c>
      <c r="AB37" s="54">
        <f t="shared" si="4"/>
        <v>0</v>
      </c>
      <c r="AC37" s="54">
        <f t="shared" si="5"/>
        <v>0</v>
      </c>
      <c r="AD37" s="54">
        <f t="shared" si="6"/>
        <v>0</v>
      </c>
      <c r="AE37" s="54">
        <f t="shared" si="7"/>
        <v>0</v>
      </c>
      <c r="AF37" s="54">
        <f t="shared" si="8"/>
        <v>0</v>
      </c>
      <c r="AG37" s="54">
        <f t="shared" si="9"/>
        <v>0</v>
      </c>
      <c r="AH37" s="54">
        <f t="shared" si="10"/>
        <v>0</v>
      </c>
      <c r="AI37" s="34" t="s">
        <v>107</v>
      </c>
      <c r="AJ37" s="54">
        <f t="shared" si="11"/>
        <v>0</v>
      </c>
      <c r="AK37" s="54">
        <f t="shared" si="12"/>
        <v>0</v>
      </c>
      <c r="AL37" s="54">
        <f t="shared" si="13"/>
        <v>0</v>
      </c>
      <c r="AN37" s="54">
        <v>21</v>
      </c>
      <c r="AO37" s="54">
        <f t="shared" si="14"/>
        <v>0</v>
      </c>
      <c r="AP37" s="54">
        <f t="shared" si="15"/>
        <v>0</v>
      </c>
      <c r="AQ37" s="57" t="s">
        <v>129</v>
      </c>
      <c r="AV37" s="54">
        <f t="shared" si="16"/>
        <v>0</v>
      </c>
      <c r="AW37" s="54">
        <f t="shared" si="17"/>
        <v>0</v>
      </c>
      <c r="AX37" s="54">
        <f t="shared" si="18"/>
        <v>0</v>
      </c>
      <c r="AY37" s="57" t="s">
        <v>178</v>
      </c>
      <c r="AZ37" s="57" t="s">
        <v>167</v>
      </c>
      <c r="BA37" s="34" t="s">
        <v>114</v>
      </c>
      <c r="BC37" s="54">
        <f t="shared" si="19"/>
        <v>0</v>
      </c>
      <c r="BD37" s="54">
        <f t="shared" si="20"/>
        <v>0</v>
      </c>
      <c r="BE37" s="54">
        <v>0</v>
      </c>
      <c r="BF37" s="54">
        <f>37</f>
        <v>37</v>
      </c>
      <c r="BH37" s="54">
        <f t="shared" si="21"/>
        <v>0</v>
      </c>
      <c r="BI37" s="54">
        <f t="shared" si="22"/>
        <v>0</v>
      </c>
      <c r="BJ37" s="54">
        <f t="shared" si="23"/>
        <v>0</v>
      </c>
      <c r="BK37" s="57" t="s">
        <v>115</v>
      </c>
      <c r="BL37" s="54"/>
      <c r="BW37" s="54">
        <v>21</v>
      </c>
      <c r="BX37" s="3" t="s">
        <v>183</v>
      </c>
    </row>
    <row r="38" spans="1:76" x14ac:dyDescent="0.25">
      <c r="A38" s="1" t="s">
        <v>184</v>
      </c>
      <c r="B38" s="2" t="s">
        <v>185</v>
      </c>
      <c r="C38" s="83" t="s">
        <v>186</v>
      </c>
      <c r="D38" s="78"/>
      <c r="E38" s="2" t="s">
        <v>177</v>
      </c>
      <c r="F38" s="54">
        <v>7</v>
      </c>
      <c r="G38" s="55">
        <v>0</v>
      </c>
      <c r="H38" s="54">
        <f t="shared" si="0"/>
        <v>0</v>
      </c>
      <c r="I38" s="54">
        <f t="shared" si="1"/>
        <v>0</v>
      </c>
      <c r="J38" s="54">
        <f t="shared" si="2"/>
        <v>0</v>
      </c>
      <c r="K38" s="56" t="s">
        <v>120</v>
      </c>
      <c r="Z38" s="54">
        <f t="shared" si="3"/>
        <v>0</v>
      </c>
      <c r="AB38" s="54">
        <f t="shared" si="4"/>
        <v>0</v>
      </c>
      <c r="AC38" s="54">
        <f t="shared" si="5"/>
        <v>0</v>
      </c>
      <c r="AD38" s="54">
        <f t="shared" si="6"/>
        <v>0</v>
      </c>
      <c r="AE38" s="54">
        <f t="shared" si="7"/>
        <v>0</v>
      </c>
      <c r="AF38" s="54">
        <f t="shared" si="8"/>
        <v>0</v>
      </c>
      <c r="AG38" s="54">
        <f t="shared" si="9"/>
        <v>0</v>
      </c>
      <c r="AH38" s="54">
        <f t="shared" si="10"/>
        <v>0</v>
      </c>
      <c r="AI38" s="34" t="s">
        <v>107</v>
      </c>
      <c r="AJ38" s="54">
        <f t="shared" si="11"/>
        <v>0</v>
      </c>
      <c r="AK38" s="54">
        <f t="shared" si="12"/>
        <v>0</v>
      </c>
      <c r="AL38" s="54">
        <f t="shared" si="13"/>
        <v>0</v>
      </c>
      <c r="AN38" s="54">
        <v>21</v>
      </c>
      <c r="AO38" s="54">
        <f t="shared" si="14"/>
        <v>0</v>
      </c>
      <c r="AP38" s="54">
        <f t="shared" si="15"/>
        <v>0</v>
      </c>
      <c r="AQ38" s="57" t="s">
        <v>129</v>
      </c>
      <c r="AV38" s="54">
        <f t="shared" si="16"/>
        <v>0</v>
      </c>
      <c r="AW38" s="54">
        <f t="shared" si="17"/>
        <v>0</v>
      </c>
      <c r="AX38" s="54">
        <f t="shared" si="18"/>
        <v>0</v>
      </c>
      <c r="AY38" s="57" t="s">
        <v>178</v>
      </c>
      <c r="AZ38" s="57" t="s">
        <v>167</v>
      </c>
      <c r="BA38" s="34" t="s">
        <v>114</v>
      </c>
      <c r="BC38" s="54">
        <f t="shared" si="19"/>
        <v>0</v>
      </c>
      <c r="BD38" s="54">
        <f t="shared" si="20"/>
        <v>0</v>
      </c>
      <c r="BE38" s="54">
        <v>0</v>
      </c>
      <c r="BF38" s="54">
        <f>38</f>
        <v>38</v>
      </c>
      <c r="BH38" s="54">
        <f t="shared" si="21"/>
        <v>0</v>
      </c>
      <c r="BI38" s="54">
        <f t="shared" si="22"/>
        <v>0</v>
      </c>
      <c r="BJ38" s="54">
        <f t="shared" si="23"/>
        <v>0</v>
      </c>
      <c r="BK38" s="57" t="s">
        <v>115</v>
      </c>
      <c r="BL38" s="54"/>
      <c r="BW38" s="54">
        <v>21</v>
      </c>
      <c r="BX38" s="3" t="s">
        <v>186</v>
      </c>
    </row>
    <row r="39" spans="1:76" x14ac:dyDescent="0.25">
      <c r="A39" s="1" t="s">
        <v>187</v>
      </c>
      <c r="B39" s="2" t="s">
        <v>188</v>
      </c>
      <c r="C39" s="83" t="s">
        <v>189</v>
      </c>
      <c r="D39" s="78"/>
      <c r="E39" s="2" t="s">
        <v>136</v>
      </c>
      <c r="F39" s="54">
        <v>18.600000000000001</v>
      </c>
      <c r="G39" s="55">
        <v>0</v>
      </c>
      <c r="H39" s="54">
        <f t="shared" si="0"/>
        <v>0</v>
      </c>
      <c r="I39" s="54">
        <f t="shared" si="1"/>
        <v>0</v>
      </c>
      <c r="J39" s="54">
        <f t="shared" si="2"/>
        <v>0</v>
      </c>
      <c r="K39" s="56" t="s">
        <v>120</v>
      </c>
      <c r="Z39" s="54">
        <f t="shared" si="3"/>
        <v>0</v>
      </c>
      <c r="AB39" s="54">
        <f t="shared" si="4"/>
        <v>0</v>
      </c>
      <c r="AC39" s="54">
        <f t="shared" si="5"/>
        <v>0</v>
      </c>
      <c r="AD39" s="54">
        <f t="shared" si="6"/>
        <v>0</v>
      </c>
      <c r="AE39" s="54">
        <f t="shared" si="7"/>
        <v>0</v>
      </c>
      <c r="AF39" s="54">
        <f t="shared" si="8"/>
        <v>0</v>
      </c>
      <c r="AG39" s="54">
        <f t="shared" si="9"/>
        <v>0</v>
      </c>
      <c r="AH39" s="54">
        <f t="shared" si="10"/>
        <v>0</v>
      </c>
      <c r="AI39" s="34" t="s">
        <v>107</v>
      </c>
      <c r="AJ39" s="54">
        <f t="shared" si="11"/>
        <v>0</v>
      </c>
      <c r="AK39" s="54">
        <f t="shared" si="12"/>
        <v>0</v>
      </c>
      <c r="AL39" s="54">
        <f t="shared" si="13"/>
        <v>0</v>
      </c>
      <c r="AN39" s="54">
        <v>21</v>
      </c>
      <c r="AO39" s="54">
        <f t="shared" si="14"/>
        <v>0</v>
      </c>
      <c r="AP39" s="54">
        <f t="shared" si="15"/>
        <v>0</v>
      </c>
      <c r="AQ39" s="57" t="s">
        <v>129</v>
      </c>
      <c r="AV39" s="54">
        <f t="shared" si="16"/>
        <v>0</v>
      </c>
      <c r="AW39" s="54">
        <f t="shared" si="17"/>
        <v>0</v>
      </c>
      <c r="AX39" s="54">
        <f t="shared" si="18"/>
        <v>0</v>
      </c>
      <c r="AY39" s="57" t="s">
        <v>178</v>
      </c>
      <c r="AZ39" s="57" t="s">
        <v>167</v>
      </c>
      <c r="BA39" s="34" t="s">
        <v>114</v>
      </c>
      <c r="BC39" s="54">
        <f t="shared" si="19"/>
        <v>0</v>
      </c>
      <c r="BD39" s="54">
        <f t="shared" si="20"/>
        <v>0</v>
      </c>
      <c r="BE39" s="54">
        <v>0</v>
      </c>
      <c r="BF39" s="54">
        <f>39</f>
        <v>39</v>
      </c>
      <c r="BH39" s="54">
        <f t="shared" si="21"/>
        <v>0</v>
      </c>
      <c r="BI39" s="54">
        <f t="shared" si="22"/>
        <v>0</v>
      </c>
      <c r="BJ39" s="54">
        <f t="shared" si="23"/>
        <v>0</v>
      </c>
      <c r="BK39" s="57" t="s">
        <v>115</v>
      </c>
      <c r="BL39" s="54"/>
      <c r="BW39" s="54">
        <v>21</v>
      </c>
      <c r="BX39" s="3" t="s">
        <v>189</v>
      </c>
    </row>
    <row r="40" spans="1:76" x14ac:dyDescent="0.25">
      <c r="A40" s="49" t="s">
        <v>4</v>
      </c>
      <c r="B40" s="50" t="s">
        <v>190</v>
      </c>
      <c r="C40" s="161" t="s">
        <v>40</v>
      </c>
      <c r="D40" s="162"/>
      <c r="E40" s="51" t="s">
        <v>69</v>
      </c>
      <c r="F40" s="51" t="s">
        <v>69</v>
      </c>
      <c r="G40" s="52" t="s">
        <v>69</v>
      </c>
      <c r="H40" s="28">
        <f>SUM(H41:H41)</f>
        <v>0</v>
      </c>
      <c r="I40" s="28">
        <f>SUM(I41:I41)</f>
        <v>0</v>
      </c>
      <c r="J40" s="28">
        <f>SUM(J41:J41)</f>
        <v>0</v>
      </c>
      <c r="K40" s="53" t="s">
        <v>4</v>
      </c>
      <c r="AI40" s="34" t="s">
        <v>107</v>
      </c>
      <c r="AS40" s="28">
        <f>SUM(AJ41:AJ41)</f>
        <v>0</v>
      </c>
      <c r="AT40" s="28">
        <f>SUM(AK41:AK41)</f>
        <v>0</v>
      </c>
      <c r="AU40" s="28">
        <f>SUM(AL41:AL41)</f>
        <v>0</v>
      </c>
    </row>
    <row r="41" spans="1:76" x14ac:dyDescent="0.25">
      <c r="A41" s="1" t="s">
        <v>191</v>
      </c>
      <c r="B41" s="2" t="s">
        <v>192</v>
      </c>
      <c r="C41" s="83" t="s">
        <v>193</v>
      </c>
      <c r="D41" s="78"/>
      <c r="E41" s="2" t="s">
        <v>136</v>
      </c>
      <c r="F41" s="54">
        <v>0.12</v>
      </c>
      <c r="G41" s="55">
        <v>0</v>
      </c>
      <c r="H41" s="54">
        <f>ROUND(F41*AO41,2)</f>
        <v>0</v>
      </c>
      <c r="I41" s="54">
        <f>ROUND(F41*AP41,2)</f>
        <v>0</v>
      </c>
      <c r="J41" s="54">
        <f>ROUND(F41*G41,2)</f>
        <v>0</v>
      </c>
      <c r="K41" s="56" t="s">
        <v>120</v>
      </c>
      <c r="Z41" s="54">
        <f>ROUND(IF(AQ41="5",BJ41,0),2)</f>
        <v>0</v>
      </c>
      <c r="AB41" s="54">
        <f>ROUND(IF(AQ41="1",BH41,0),2)</f>
        <v>0</v>
      </c>
      <c r="AC41" s="54">
        <f>ROUND(IF(AQ41="1",BI41,0),2)</f>
        <v>0</v>
      </c>
      <c r="AD41" s="54">
        <f>ROUND(IF(AQ41="7",BH41,0),2)</f>
        <v>0</v>
      </c>
      <c r="AE41" s="54">
        <f>ROUND(IF(AQ41="7",BI41,0),2)</f>
        <v>0</v>
      </c>
      <c r="AF41" s="54">
        <f>ROUND(IF(AQ41="2",BH41,0),2)</f>
        <v>0</v>
      </c>
      <c r="AG41" s="54">
        <f>ROUND(IF(AQ41="2",BI41,0),2)</f>
        <v>0</v>
      </c>
      <c r="AH41" s="54">
        <f>ROUND(IF(AQ41="0",BJ41,0),2)</f>
        <v>0</v>
      </c>
      <c r="AI41" s="34" t="s">
        <v>107</v>
      </c>
      <c r="AJ41" s="54">
        <f>IF(AN41=0,J41,0)</f>
        <v>0</v>
      </c>
      <c r="AK41" s="54">
        <f>IF(AN41=0,J41,0)</f>
        <v>0</v>
      </c>
      <c r="AL41" s="54">
        <f>IF(AN41=21,J41,0)</f>
        <v>0</v>
      </c>
      <c r="AN41" s="54">
        <v>21</v>
      </c>
      <c r="AO41" s="54">
        <f>G41*1</f>
        <v>0</v>
      </c>
      <c r="AP41" s="54">
        <f>G41*(1-1)</f>
        <v>0</v>
      </c>
      <c r="AQ41" s="57" t="s">
        <v>194</v>
      </c>
      <c r="AV41" s="54">
        <f>ROUND(AW41+AX41,2)</f>
        <v>0</v>
      </c>
      <c r="AW41" s="54">
        <f>ROUND(F41*AO41,2)</f>
        <v>0</v>
      </c>
      <c r="AX41" s="54">
        <f>ROUND(F41*AP41,2)</f>
        <v>0</v>
      </c>
      <c r="AY41" s="57" t="s">
        <v>195</v>
      </c>
      <c r="AZ41" s="57" t="s">
        <v>196</v>
      </c>
      <c r="BA41" s="34" t="s">
        <v>114</v>
      </c>
      <c r="BC41" s="54">
        <f>AW41+AX41</f>
        <v>0</v>
      </c>
      <c r="BD41" s="54">
        <f>G41/(100-BE41)*100</f>
        <v>0</v>
      </c>
      <c r="BE41" s="54">
        <v>0</v>
      </c>
      <c r="BF41" s="54">
        <f>41</f>
        <v>41</v>
      </c>
      <c r="BH41" s="54">
        <f>F41*AO41</f>
        <v>0</v>
      </c>
      <c r="BI41" s="54">
        <f>F41*AP41</f>
        <v>0</v>
      </c>
      <c r="BJ41" s="54">
        <f>F41*G41</f>
        <v>0</v>
      </c>
      <c r="BK41" s="57" t="s">
        <v>190</v>
      </c>
      <c r="BL41" s="54"/>
      <c r="BW41" s="54">
        <v>21</v>
      </c>
      <c r="BX41" s="3" t="s">
        <v>193</v>
      </c>
    </row>
    <row r="42" spans="1:76" x14ac:dyDescent="0.25">
      <c r="A42" s="60" t="s">
        <v>4</v>
      </c>
      <c r="B42" s="61" t="s">
        <v>4</v>
      </c>
      <c r="C42" s="167" t="s">
        <v>197</v>
      </c>
      <c r="D42" s="168"/>
      <c r="E42" s="62" t="s">
        <v>69</v>
      </c>
      <c r="F42" s="62" t="s">
        <v>69</v>
      </c>
      <c r="G42" s="52" t="s">
        <v>69</v>
      </c>
      <c r="H42" s="63">
        <f>H43</f>
        <v>0</v>
      </c>
      <c r="I42" s="63">
        <f>I43</f>
        <v>0</v>
      </c>
      <c r="J42" s="63">
        <f>J43</f>
        <v>0</v>
      </c>
      <c r="K42" s="64" t="s">
        <v>4</v>
      </c>
    </row>
    <row r="43" spans="1:76" x14ac:dyDescent="0.25">
      <c r="A43" s="49" t="s">
        <v>4</v>
      </c>
      <c r="B43" s="50" t="s">
        <v>127</v>
      </c>
      <c r="C43" s="161" t="s">
        <v>128</v>
      </c>
      <c r="D43" s="162"/>
      <c r="E43" s="51" t="s">
        <v>69</v>
      </c>
      <c r="F43" s="51" t="s">
        <v>69</v>
      </c>
      <c r="G43" s="52" t="s">
        <v>69</v>
      </c>
      <c r="H43" s="28">
        <f>SUM(H44:H49)</f>
        <v>0</v>
      </c>
      <c r="I43" s="28">
        <f>SUM(I44:I49)</f>
        <v>0</v>
      </c>
      <c r="J43" s="28">
        <f>SUM(J44:J49)</f>
        <v>0</v>
      </c>
      <c r="K43" s="53" t="s">
        <v>4</v>
      </c>
      <c r="AI43" s="34" t="s">
        <v>198</v>
      </c>
      <c r="AS43" s="28">
        <f>SUM(AJ44:AJ49)</f>
        <v>0</v>
      </c>
      <c r="AT43" s="28">
        <f>SUM(AK44:AK49)</f>
        <v>0</v>
      </c>
      <c r="AU43" s="28">
        <f>SUM(AL44:AL49)</f>
        <v>0</v>
      </c>
    </row>
    <row r="44" spans="1:76" x14ac:dyDescent="0.25">
      <c r="A44" s="1" t="s">
        <v>199</v>
      </c>
      <c r="B44" s="2" t="s">
        <v>200</v>
      </c>
      <c r="C44" s="83" t="s">
        <v>201</v>
      </c>
      <c r="D44" s="78"/>
      <c r="E44" s="2" t="s">
        <v>111</v>
      </c>
      <c r="F44" s="54">
        <v>1</v>
      </c>
      <c r="G44" s="55">
        <v>0</v>
      </c>
      <c r="H44" s="54">
        <f t="shared" ref="H44:H49" si="24">ROUND(F44*AO44,2)</f>
        <v>0</v>
      </c>
      <c r="I44" s="54">
        <f t="shared" ref="I44:I49" si="25">ROUND(F44*AP44,2)</f>
        <v>0</v>
      </c>
      <c r="J44" s="54">
        <f t="shared" ref="J44:J49" si="26">ROUND(F44*G44,2)</f>
        <v>0</v>
      </c>
      <c r="K44" s="56" t="s">
        <v>4</v>
      </c>
      <c r="Z44" s="54">
        <f t="shared" ref="Z44:Z49" si="27">ROUND(IF(AQ44="5",BJ44,0),2)</f>
        <v>0</v>
      </c>
      <c r="AB44" s="54">
        <f t="shared" ref="AB44:AB49" si="28">ROUND(IF(AQ44="1",BH44,0),2)</f>
        <v>0</v>
      </c>
      <c r="AC44" s="54">
        <f t="shared" ref="AC44:AC49" si="29">ROUND(IF(AQ44="1",BI44,0),2)</f>
        <v>0</v>
      </c>
      <c r="AD44" s="54">
        <f t="shared" ref="AD44:AD49" si="30">ROUND(IF(AQ44="7",BH44,0),2)</f>
        <v>0</v>
      </c>
      <c r="AE44" s="54">
        <f t="shared" ref="AE44:AE49" si="31">ROUND(IF(AQ44="7",BI44,0),2)</f>
        <v>0</v>
      </c>
      <c r="AF44" s="54">
        <f t="shared" ref="AF44:AF49" si="32">ROUND(IF(AQ44="2",BH44,0),2)</f>
        <v>0</v>
      </c>
      <c r="AG44" s="54">
        <f t="shared" ref="AG44:AG49" si="33">ROUND(IF(AQ44="2",BI44,0),2)</f>
        <v>0</v>
      </c>
      <c r="AH44" s="54">
        <f t="shared" ref="AH44:AH49" si="34">ROUND(IF(AQ44="0",BJ44,0),2)</f>
        <v>0</v>
      </c>
      <c r="AI44" s="34" t="s">
        <v>198</v>
      </c>
      <c r="AJ44" s="54">
        <f t="shared" ref="AJ44:AJ49" si="35">IF(AN44=0,J44,0)</f>
        <v>0</v>
      </c>
      <c r="AK44" s="54">
        <f t="shared" ref="AK44:AK49" si="36">IF(AN44=0,J44,0)</f>
        <v>0</v>
      </c>
      <c r="AL44" s="54">
        <f t="shared" ref="AL44:AL49" si="37">IF(AN44=21,J44,0)</f>
        <v>0</v>
      </c>
      <c r="AN44" s="54">
        <v>21</v>
      </c>
      <c r="AO44" s="54">
        <f>G44*0</f>
        <v>0</v>
      </c>
      <c r="AP44" s="54">
        <f>G44*(1-0)</f>
        <v>0</v>
      </c>
      <c r="AQ44" s="57" t="s">
        <v>108</v>
      </c>
      <c r="AV44" s="54">
        <f t="shared" ref="AV44:AV49" si="38">ROUND(AW44+AX44,2)</f>
        <v>0</v>
      </c>
      <c r="AW44" s="54">
        <f t="shared" ref="AW44:AW49" si="39">ROUND(F44*AO44,2)</f>
        <v>0</v>
      </c>
      <c r="AX44" s="54">
        <f t="shared" ref="AX44:AX49" si="40">ROUND(F44*AP44,2)</f>
        <v>0</v>
      </c>
      <c r="AY44" s="57" t="s">
        <v>132</v>
      </c>
      <c r="AZ44" s="57" t="s">
        <v>202</v>
      </c>
      <c r="BA44" s="34" t="s">
        <v>203</v>
      </c>
      <c r="BC44" s="54">
        <f t="shared" ref="BC44:BC49" si="41">AW44+AX44</f>
        <v>0</v>
      </c>
      <c r="BD44" s="54">
        <f t="shared" ref="BD44:BD49" si="42">G44/(100-BE44)*100</f>
        <v>0</v>
      </c>
      <c r="BE44" s="54">
        <v>0</v>
      </c>
      <c r="BF44" s="54">
        <f>44</f>
        <v>44</v>
      </c>
      <c r="BH44" s="54">
        <f t="shared" ref="BH44:BH49" si="43">F44*AO44</f>
        <v>0</v>
      </c>
      <c r="BI44" s="54">
        <f t="shared" ref="BI44:BI49" si="44">F44*AP44</f>
        <v>0</v>
      </c>
      <c r="BJ44" s="54">
        <f t="shared" ref="BJ44:BJ49" si="45">F44*G44</f>
        <v>0</v>
      </c>
      <c r="BK44" s="57" t="s">
        <v>115</v>
      </c>
      <c r="BL44" s="54">
        <v>11</v>
      </c>
      <c r="BW44" s="54">
        <v>21</v>
      </c>
      <c r="BX44" s="3" t="s">
        <v>201</v>
      </c>
    </row>
    <row r="45" spans="1:76" x14ac:dyDescent="0.25">
      <c r="A45" s="1" t="s">
        <v>204</v>
      </c>
      <c r="B45" s="2" t="s">
        <v>205</v>
      </c>
      <c r="C45" s="83" t="s">
        <v>206</v>
      </c>
      <c r="D45" s="78"/>
      <c r="E45" s="2" t="s">
        <v>111</v>
      </c>
      <c r="F45" s="54">
        <v>1</v>
      </c>
      <c r="G45" s="55">
        <v>0</v>
      </c>
      <c r="H45" s="54">
        <f t="shared" si="24"/>
        <v>0</v>
      </c>
      <c r="I45" s="54">
        <f t="shared" si="25"/>
        <v>0</v>
      </c>
      <c r="J45" s="54">
        <f t="shared" si="26"/>
        <v>0</v>
      </c>
      <c r="K45" s="56" t="s">
        <v>4</v>
      </c>
      <c r="Z45" s="54">
        <f t="shared" si="27"/>
        <v>0</v>
      </c>
      <c r="AB45" s="54">
        <f t="shared" si="28"/>
        <v>0</v>
      </c>
      <c r="AC45" s="54">
        <f t="shared" si="29"/>
        <v>0</v>
      </c>
      <c r="AD45" s="54">
        <f t="shared" si="30"/>
        <v>0</v>
      </c>
      <c r="AE45" s="54">
        <f t="shared" si="31"/>
        <v>0</v>
      </c>
      <c r="AF45" s="54">
        <f t="shared" si="32"/>
        <v>0</v>
      </c>
      <c r="AG45" s="54">
        <f t="shared" si="33"/>
        <v>0</v>
      </c>
      <c r="AH45" s="54">
        <f t="shared" si="34"/>
        <v>0</v>
      </c>
      <c r="AI45" s="34" t="s">
        <v>198</v>
      </c>
      <c r="AJ45" s="54">
        <f t="shared" si="35"/>
        <v>0</v>
      </c>
      <c r="AK45" s="54">
        <f t="shared" si="36"/>
        <v>0</v>
      </c>
      <c r="AL45" s="54">
        <f t="shared" si="37"/>
        <v>0</v>
      </c>
      <c r="AN45" s="54">
        <v>21</v>
      </c>
      <c r="AO45" s="54">
        <f>G45*0</f>
        <v>0</v>
      </c>
      <c r="AP45" s="54">
        <f>G45*(1-0)</f>
        <v>0</v>
      </c>
      <c r="AQ45" s="57" t="s">
        <v>108</v>
      </c>
      <c r="AV45" s="54">
        <f t="shared" si="38"/>
        <v>0</v>
      </c>
      <c r="AW45" s="54">
        <f t="shared" si="39"/>
        <v>0</v>
      </c>
      <c r="AX45" s="54">
        <f t="shared" si="40"/>
        <v>0</v>
      </c>
      <c r="AY45" s="57" t="s">
        <v>132</v>
      </c>
      <c r="AZ45" s="57" t="s">
        <v>202</v>
      </c>
      <c r="BA45" s="34" t="s">
        <v>203</v>
      </c>
      <c r="BC45" s="54">
        <f t="shared" si="41"/>
        <v>0</v>
      </c>
      <c r="BD45" s="54">
        <f t="shared" si="42"/>
        <v>0</v>
      </c>
      <c r="BE45" s="54">
        <v>0</v>
      </c>
      <c r="BF45" s="54">
        <f>45</f>
        <v>45</v>
      </c>
      <c r="BH45" s="54">
        <f t="shared" si="43"/>
        <v>0</v>
      </c>
      <c r="BI45" s="54">
        <f t="shared" si="44"/>
        <v>0</v>
      </c>
      <c r="BJ45" s="54">
        <f t="shared" si="45"/>
        <v>0</v>
      </c>
      <c r="BK45" s="57" t="s">
        <v>115</v>
      </c>
      <c r="BL45" s="54">
        <v>11</v>
      </c>
      <c r="BW45" s="54">
        <v>21</v>
      </c>
      <c r="BX45" s="3" t="s">
        <v>206</v>
      </c>
    </row>
    <row r="46" spans="1:76" x14ac:dyDescent="0.25">
      <c r="A46" s="1" t="s">
        <v>207</v>
      </c>
      <c r="B46" s="2" t="s">
        <v>208</v>
      </c>
      <c r="C46" s="83" t="s">
        <v>209</v>
      </c>
      <c r="D46" s="78"/>
      <c r="E46" s="2" t="s">
        <v>210</v>
      </c>
      <c r="F46" s="54">
        <v>263</v>
      </c>
      <c r="G46" s="55">
        <v>0</v>
      </c>
      <c r="H46" s="54">
        <f t="shared" si="24"/>
        <v>0</v>
      </c>
      <c r="I46" s="54">
        <f t="shared" si="25"/>
        <v>0</v>
      </c>
      <c r="J46" s="54">
        <f t="shared" si="26"/>
        <v>0</v>
      </c>
      <c r="K46" s="56" t="s">
        <v>4</v>
      </c>
      <c r="Z46" s="54">
        <f t="shared" si="27"/>
        <v>0</v>
      </c>
      <c r="AB46" s="54">
        <f t="shared" si="28"/>
        <v>0</v>
      </c>
      <c r="AC46" s="54">
        <f t="shared" si="29"/>
        <v>0</v>
      </c>
      <c r="AD46" s="54">
        <f t="shared" si="30"/>
        <v>0</v>
      </c>
      <c r="AE46" s="54">
        <f t="shared" si="31"/>
        <v>0</v>
      </c>
      <c r="AF46" s="54">
        <f t="shared" si="32"/>
        <v>0</v>
      </c>
      <c r="AG46" s="54">
        <f t="shared" si="33"/>
        <v>0</v>
      </c>
      <c r="AH46" s="54">
        <f t="shared" si="34"/>
        <v>0</v>
      </c>
      <c r="AI46" s="34" t="s">
        <v>198</v>
      </c>
      <c r="AJ46" s="54">
        <f t="shared" si="35"/>
        <v>0</v>
      </c>
      <c r="AK46" s="54">
        <f t="shared" si="36"/>
        <v>0</v>
      </c>
      <c r="AL46" s="54">
        <f t="shared" si="37"/>
        <v>0</v>
      </c>
      <c r="AN46" s="54">
        <v>21</v>
      </c>
      <c r="AO46" s="54">
        <f>G46*1</f>
        <v>0</v>
      </c>
      <c r="AP46" s="54">
        <f>G46*(1-1)</f>
        <v>0</v>
      </c>
      <c r="AQ46" s="57" t="s">
        <v>108</v>
      </c>
      <c r="AV46" s="54">
        <f t="shared" si="38"/>
        <v>0</v>
      </c>
      <c r="AW46" s="54">
        <f t="shared" si="39"/>
        <v>0</v>
      </c>
      <c r="AX46" s="54">
        <f t="shared" si="40"/>
        <v>0</v>
      </c>
      <c r="AY46" s="57" t="s">
        <v>132</v>
      </c>
      <c r="AZ46" s="57" t="s">
        <v>202</v>
      </c>
      <c r="BA46" s="34" t="s">
        <v>203</v>
      </c>
      <c r="BC46" s="54">
        <f t="shared" si="41"/>
        <v>0</v>
      </c>
      <c r="BD46" s="54">
        <f t="shared" si="42"/>
        <v>0</v>
      </c>
      <c r="BE46" s="54">
        <v>0</v>
      </c>
      <c r="BF46" s="54">
        <f>46</f>
        <v>46</v>
      </c>
      <c r="BH46" s="54">
        <f t="shared" si="43"/>
        <v>0</v>
      </c>
      <c r="BI46" s="54">
        <f t="shared" si="44"/>
        <v>0</v>
      </c>
      <c r="BJ46" s="54">
        <f t="shared" si="45"/>
        <v>0</v>
      </c>
      <c r="BK46" s="57" t="s">
        <v>190</v>
      </c>
      <c r="BL46" s="54">
        <v>11</v>
      </c>
      <c r="BW46" s="54">
        <v>21</v>
      </c>
      <c r="BX46" s="3" t="s">
        <v>209</v>
      </c>
    </row>
    <row r="47" spans="1:76" x14ac:dyDescent="0.25">
      <c r="A47" s="1" t="s">
        <v>211</v>
      </c>
      <c r="B47" s="2" t="s">
        <v>212</v>
      </c>
      <c r="C47" s="83" t="s">
        <v>213</v>
      </c>
      <c r="D47" s="78"/>
      <c r="E47" s="2" t="s">
        <v>214</v>
      </c>
      <c r="F47" s="54">
        <v>526</v>
      </c>
      <c r="G47" s="55">
        <v>0</v>
      </c>
      <c r="H47" s="54">
        <f t="shared" si="24"/>
        <v>0</v>
      </c>
      <c r="I47" s="54">
        <f t="shared" si="25"/>
        <v>0</v>
      </c>
      <c r="J47" s="54">
        <f t="shared" si="26"/>
        <v>0</v>
      </c>
      <c r="K47" s="56" t="s">
        <v>4</v>
      </c>
      <c r="Z47" s="54">
        <f t="shared" si="27"/>
        <v>0</v>
      </c>
      <c r="AB47" s="54">
        <f t="shared" si="28"/>
        <v>0</v>
      </c>
      <c r="AC47" s="54">
        <f t="shared" si="29"/>
        <v>0</v>
      </c>
      <c r="AD47" s="54">
        <f t="shared" si="30"/>
        <v>0</v>
      </c>
      <c r="AE47" s="54">
        <f t="shared" si="31"/>
        <v>0</v>
      </c>
      <c r="AF47" s="54">
        <f t="shared" si="32"/>
        <v>0</v>
      </c>
      <c r="AG47" s="54">
        <f t="shared" si="33"/>
        <v>0</v>
      </c>
      <c r="AH47" s="54">
        <f t="shared" si="34"/>
        <v>0</v>
      </c>
      <c r="AI47" s="34" t="s">
        <v>198</v>
      </c>
      <c r="AJ47" s="54">
        <f t="shared" si="35"/>
        <v>0</v>
      </c>
      <c r="AK47" s="54">
        <f t="shared" si="36"/>
        <v>0</v>
      </c>
      <c r="AL47" s="54">
        <f t="shared" si="37"/>
        <v>0</v>
      </c>
      <c r="AN47" s="54">
        <v>21</v>
      </c>
      <c r="AO47" s="54">
        <f>G47*1</f>
        <v>0</v>
      </c>
      <c r="AP47" s="54">
        <f>G47*(1-1)</f>
        <v>0</v>
      </c>
      <c r="AQ47" s="57" t="s">
        <v>108</v>
      </c>
      <c r="AV47" s="54">
        <f t="shared" si="38"/>
        <v>0</v>
      </c>
      <c r="AW47" s="54">
        <f t="shared" si="39"/>
        <v>0</v>
      </c>
      <c r="AX47" s="54">
        <f t="shared" si="40"/>
        <v>0</v>
      </c>
      <c r="AY47" s="57" t="s">
        <v>132</v>
      </c>
      <c r="AZ47" s="57" t="s">
        <v>202</v>
      </c>
      <c r="BA47" s="34" t="s">
        <v>203</v>
      </c>
      <c r="BC47" s="54">
        <f t="shared" si="41"/>
        <v>0</v>
      </c>
      <c r="BD47" s="54">
        <f t="shared" si="42"/>
        <v>0</v>
      </c>
      <c r="BE47" s="54">
        <v>0</v>
      </c>
      <c r="BF47" s="54">
        <f>47</f>
        <v>47</v>
      </c>
      <c r="BH47" s="54">
        <f t="shared" si="43"/>
        <v>0</v>
      </c>
      <c r="BI47" s="54">
        <f t="shared" si="44"/>
        <v>0</v>
      </c>
      <c r="BJ47" s="54">
        <f t="shared" si="45"/>
        <v>0</v>
      </c>
      <c r="BK47" s="57" t="s">
        <v>190</v>
      </c>
      <c r="BL47" s="54">
        <v>11</v>
      </c>
      <c r="BW47" s="54">
        <v>21</v>
      </c>
      <c r="BX47" s="3" t="s">
        <v>213</v>
      </c>
    </row>
    <row r="48" spans="1:76" x14ac:dyDescent="0.25">
      <c r="A48" s="1" t="s">
        <v>215</v>
      </c>
      <c r="B48" s="2" t="s">
        <v>216</v>
      </c>
      <c r="C48" s="83" t="s">
        <v>217</v>
      </c>
      <c r="D48" s="78"/>
      <c r="E48" s="2" t="s">
        <v>210</v>
      </c>
      <c r="F48" s="54">
        <v>263</v>
      </c>
      <c r="G48" s="55">
        <v>0</v>
      </c>
      <c r="H48" s="54">
        <f t="shared" si="24"/>
        <v>0</v>
      </c>
      <c r="I48" s="54">
        <f t="shared" si="25"/>
        <v>0</v>
      </c>
      <c r="J48" s="54">
        <f t="shared" si="26"/>
        <v>0</v>
      </c>
      <c r="K48" s="56" t="s">
        <v>4</v>
      </c>
      <c r="Z48" s="54">
        <f t="shared" si="27"/>
        <v>0</v>
      </c>
      <c r="AB48" s="54">
        <f t="shared" si="28"/>
        <v>0</v>
      </c>
      <c r="AC48" s="54">
        <f t="shared" si="29"/>
        <v>0</v>
      </c>
      <c r="AD48" s="54">
        <f t="shared" si="30"/>
        <v>0</v>
      </c>
      <c r="AE48" s="54">
        <f t="shared" si="31"/>
        <v>0</v>
      </c>
      <c r="AF48" s="54">
        <f t="shared" si="32"/>
        <v>0</v>
      </c>
      <c r="AG48" s="54">
        <f t="shared" si="33"/>
        <v>0</v>
      </c>
      <c r="AH48" s="54">
        <f t="shared" si="34"/>
        <v>0</v>
      </c>
      <c r="AI48" s="34" t="s">
        <v>198</v>
      </c>
      <c r="AJ48" s="54">
        <f t="shared" si="35"/>
        <v>0</v>
      </c>
      <c r="AK48" s="54">
        <f t="shared" si="36"/>
        <v>0</v>
      </c>
      <c r="AL48" s="54">
        <f t="shared" si="37"/>
        <v>0</v>
      </c>
      <c r="AN48" s="54">
        <v>21</v>
      </c>
      <c r="AO48" s="54">
        <f>G48*0</f>
        <v>0</v>
      </c>
      <c r="AP48" s="54">
        <f>G48*(1-0)</f>
        <v>0</v>
      </c>
      <c r="AQ48" s="57" t="s">
        <v>108</v>
      </c>
      <c r="AV48" s="54">
        <f t="shared" si="38"/>
        <v>0</v>
      </c>
      <c r="AW48" s="54">
        <f t="shared" si="39"/>
        <v>0</v>
      </c>
      <c r="AX48" s="54">
        <f t="shared" si="40"/>
        <v>0</v>
      </c>
      <c r="AY48" s="57" t="s">
        <v>132</v>
      </c>
      <c r="AZ48" s="57" t="s">
        <v>202</v>
      </c>
      <c r="BA48" s="34" t="s">
        <v>203</v>
      </c>
      <c r="BC48" s="54">
        <f t="shared" si="41"/>
        <v>0</v>
      </c>
      <c r="BD48" s="54">
        <f t="shared" si="42"/>
        <v>0</v>
      </c>
      <c r="BE48" s="54">
        <v>0</v>
      </c>
      <c r="BF48" s="54">
        <f>48</f>
        <v>48</v>
      </c>
      <c r="BH48" s="54">
        <f t="shared" si="43"/>
        <v>0</v>
      </c>
      <c r="BI48" s="54">
        <f t="shared" si="44"/>
        <v>0</v>
      </c>
      <c r="BJ48" s="54">
        <f t="shared" si="45"/>
        <v>0</v>
      </c>
      <c r="BK48" s="57" t="s">
        <v>115</v>
      </c>
      <c r="BL48" s="54">
        <v>11</v>
      </c>
      <c r="BW48" s="54">
        <v>21</v>
      </c>
      <c r="BX48" s="3" t="s">
        <v>217</v>
      </c>
    </row>
    <row r="49" spans="1:76" x14ac:dyDescent="0.25">
      <c r="A49" s="1" t="s">
        <v>218</v>
      </c>
      <c r="B49" s="2" t="s">
        <v>219</v>
      </c>
      <c r="C49" s="83" t="s">
        <v>220</v>
      </c>
      <c r="D49" s="78"/>
      <c r="E49" s="2" t="s">
        <v>136</v>
      </c>
      <c r="F49" s="54">
        <v>4.99</v>
      </c>
      <c r="G49" s="55">
        <v>0</v>
      </c>
      <c r="H49" s="54">
        <f t="shared" si="24"/>
        <v>0</v>
      </c>
      <c r="I49" s="54">
        <f t="shared" si="25"/>
        <v>0</v>
      </c>
      <c r="J49" s="54">
        <f t="shared" si="26"/>
        <v>0</v>
      </c>
      <c r="K49" s="56" t="s">
        <v>120</v>
      </c>
      <c r="Z49" s="54">
        <f t="shared" si="27"/>
        <v>0</v>
      </c>
      <c r="AB49" s="54">
        <f t="shared" si="28"/>
        <v>0</v>
      </c>
      <c r="AC49" s="54">
        <f t="shared" si="29"/>
        <v>0</v>
      </c>
      <c r="AD49" s="54">
        <f t="shared" si="30"/>
        <v>0</v>
      </c>
      <c r="AE49" s="54">
        <f t="shared" si="31"/>
        <v>0</v>
      </c>
      <c r="AF49" s="54">
        <f t="shared" si="32"/>
        <v>0</v>
      </c>
      <c r="AG49" s="54">
        <f t="shared" si="33"/>
        <v>0</v>
      </c>
      <c r="AH49" s="54">
        <f t="shared" si="34"/>
        <v>0</v>
      </c>
      <c r="AI49" s="34" t="s">
        <v>198</v>
      </c>
      <c r="AJ49" s="54">
        <f t="shared" si="35"/>
        <v>0</v>
      </c>
      <c r="AK49" s="54">
        <f t="shared" si="36"/>
        <v>0</v>
      </c>
      <c r="AL49" s="54">
        <f t="shared" si="37"/>
        <v>0</v>
      </c>
      <c r="AN49" s="54">
        <v>21</v>
      </c>
      <c r="AO49" s="54">
        <f>G49*0</f>
        <v>0</v>
      </c>
      <c r="AP49" s="54">
        <f>G49*(1-0)</f>
        <v>0</v>
      </c>
      <c r="AQ49" s="57" t="s">
        <v>129</v>
      </c>
      <c r="AV49" s="54">
        <f t="shared" si="38"/>
        <v>0</v>
      </c>
      <c r="AW49" s="54">
        <f t="shared" si="39"/>
        <v>0</v>
      </c>
      <c r="AX49" s="54">
        <f t="shared" si="40"/>
        <v>0</v>
      </c>
      <c r="AY49" s="57" t="s">
        <v>132</v>
      </c>
      <c r="AZ49" s="57" t="s">
        <v>202</v>
      </c>
      <c r="BA49" s="34" t="s">
        <v>203</v>
      </c>
      <c r="BC49" s="54">
        <f t="shared" si="41"/>
        <v>0</v>
      </c>
      <c r="BD49" s="54">
        <f t="shared" si="42"/>
        <v>0</v>
      </c>
      <c r="BE49" s="54">
        <v>0</v>
      </c>
      <c r="BF49" s="54">
        <f>49</f>
        <v>49</v>
      </c>
      <c r="BH49" s="54">
        <f t="shared" si="43"/>
        <v>0</v>
      </c>
      <c r="BI49" s="54">
        <f t="shared" si="44"/>
        <v>0</v>
      </c>
      <c r="BJ49" s="54">
        <f t="shared" si="45"/>
        <v>0</v>
      </c>
      <c r="BK49" s="57" t="s">
        <v>115</v>
      </c>
      <c r="BL49" s="54">
        <v>11</v>
      </c>
      <c r="BW49" s="54">
        <v>21</v>
      </c>
      <c r="BX49" s="3" t="s">
        <v>220</v>
      </c>
    </row>
    <row r="50" spans="1:76" x14ac:dyDescent="0.25">
      <c r="A50" s="60" t="s">
        <v>4</v>
      </c>
      <c r="B50" s="61" t="s">
        <v>4</v>
      </c>
      <c r="C50" s="167" t="s">
        <v>221</v>
      </c>
      <c r="D50" s="168"/>
      <c r="E50" s="62" t="s">
        <v>69</v>
      </c>
      <c r="F50" s="62" t="s">
        <v>69</v>
      </c>
      <c r="G50" s="52" t="s">
        <v>69</v>
      </c>
      <c r="H50" s="63">
        <f>H51+H53+H62+H64</f>
        <v>0</v>
      </c>
      <c r="I50" s="63">
        <f>I51+I53+I62+I64</f>
        <v>0</v>
      </c>
      <c r="J50" s="63">
        <f>J51+J53+J62+J64</f>
        <v>0</v>
      </c>
      <c r="K50" s="64" t="s">
        <v>4</v>
      </c>
    </row>
    <row r="51" spans="1:76" x14ac:dyDescent="0.25">
      <c r="A51" s="49" t="s">
        <v>4</v>
      </c>
      <c r="B51" s="50" t="s">
        <v>222</v>
      </c>
      <c r="C51" s="161" t="s">
        <v>223</v>
      </c>
      <c r="D51" s="162"/>
      <c r="E51" s="51" t="s">
        <v>69</v>
      </c>
      <c r="F51" s="51" t="s">
        <v>69</v>
      </c>
      <c r="G51" s="52" t="s">
        <v>69</v>
      </c>
      <c r="H51" s="28">
        <f>SUM(H52:H52)</f>
        <v>0</v>
      </c>
      <c r="I51" s="28">
        <f>SUM(I52:I52)</f>
        <v>0</v>
      </c>
      <c r="J51" s="28">
        <f>SUM(J52:J52)</f>
        <v>0</v>
      </c>
      <c r="K51" s="53" t="s">
        <v>4</v>
      </c>
      <c r="AI51" s="34" t="s">
        <v>224</v>
      </c>
      <c r="AS51" s="28">
        <f>SUM(AJ52:AJ52)</f>
        <v>0</v>
      </c>
      <c r="AT51" s="28">
        <f>SUM(AK52:AK52)</f>
        <v>0</v>
      </c>
      <c r="AU51" s="28">
        <f>SUM(AL52:AL52)</f>
        <v>0</v>
      </c>
    </row>
    <row r="52" spans="1:76" x14ac:dyDescent="0.25">
      <c r="A52" s="1" t="s">
        <v>225</v>
      </c>
      <c r="B52" s="2" t="s">
        <v>226</v>
      </c>
      <c r="C52" s="83" t="s">
        <v>227</v>
      </c>
      <c r="D52" s="78"/>
      <c r="E52" s="2" t="s">
        <v>228</v>
      </c>
      <c r="F52" s="54">
        <v>3</v>
      </c>
      <c r="G52" s="55">
        <v>0</v>
      </c>
      <c r="H52" s="54">
        <f>ROUND(F52*AO52,2)</f>
        <v>0</v>
      </c>
      <c r="I52" s="54">
        <f>ROUND(F52*AP52,2)</f>
        <v>0</v>
      </c>
      <c r="J52" s="54">
        <f>ROUND(F52*G52,2)</f>
        <v>0</v>
      </c>
      <c r="K52" s="56" t="s">
        <v>120</v>
      </c>
      <c r="Z52" s="54">
        <f>ROUND(IF(AQ52="5",BJ52,0),2)</f>
        <v>0</v>
      </c>
      <c r="AB52" s="54">
        <f>ROUND(IF(AQ52="1",BH52,0),2)</f>
        <v>0</v>
      </c>
      <c r="AC52" s="54">
        <f>ROUND(IF(AQ52="1",BI52,0),2)</f>
        <v>0</v>
      </c>
      <c r="AD52" s="54">
        <f>ROUND(IF(AQ52="7",BH52,0),2)</f>
        <v>0</v>
      </c>
      <c r="AE52" s="54">
        <f>ROUND(IF(AQ52="7",BI52,0),2)</f>
        <v>0</v>
      </c>
      <c r="AF52" s="54">
        <f>ROUND(IF(AQ52="2",BH52,0),2)</f>
        <v>0</v>
      </c>
      <c r="AG52" s="54">
        <f>ROUND(IF(AQ52="2",BI52,0),2)</f>
        <v>0</v>
      </c>
      <c r="AH52" s="54">
        <f>ROUND(IF(AQ52="0",BJ52,0),2)</f>
        <v>0</v>
      </c>
      <c r="AI52" s="34" t="s">
        <v>224</v>
      </c>
      <c r="AJ52" s="54">
        <f>IF(AN52=0,J52,0)</f>
        <v>0</v>
      </c>
      <c r="AK52" s="54">
        <f>IF(AN52=0,J52,0)</f>
        <v>0</v>
      </c>
      <c r="AL52" s="54">
        <f>IF(AN52=21,J52,0)</f>
        <v>0</v>
      </c>
      <c r="AN52" s="54">
        <v>21</v>
      </c>
      <c r="AO52" s="54">
        <f>G52*0</f>
        <v>0</v>
      </c>
      <c r="AP52" s="54">
        <f>G52*(1-0)</f>
        <v>0</v>
      </c>
      <c r="AQ52" s="57" t="s">
        <v>108</v>
      </c>
      <c r="AV52" s="54">
        <f>ROUND(AW52+AX52,2)</f>
        <v>0</v>
      </c>
      <c r="AW52" s="54">
        <f>ROUND(F52*AO52,2)</f>
        <v>0</v>
      </c>
      <c r="AX52" s="54">
        <f>ROUND(F52*AP52,2)</f>
        <v>0</v>
      </c>
      <c r="AY52" s="57" t="s">
        <v>229</v>
      </c>
      <c r="AZ52" s="57" t="s">
        <v>230</v>
      </c>
      <c r="BA52" s="34" t="s">
        <v>231</v>
      </c>
      <c r="BC52" s="54">
        <f>AW52+AX52</f>
        <v>0</v>
      </c>
      <c r="BD52" s="54">
        <f>G52/(100-BE52)*100</f>
        <v>0</v>
      </c>
      <c r="BE52" s="54">
        <v>0</v>
      </c>
      <c r="BF52" s="54">
        <f>52</f>
        <v>52</v>
      </c>
      <c r="BH52" s="54">
        <f>F52*AO52</f>
        <v>0</v>
      </c>
      <c r="BI52" s="54">
        <f>F52*AP52</f>
        <v>0</v>
      </c>
      <c r="BJ52" s="54">
        <f>F52*G52</f>
        <v>0</v>
      </c>
      <c r="BK52" s="57" t="s">
        <v>115</v>
      </c>
      <c r="BL52" s="54">
        <v>111</v>
      </c>
      <c r="BW52" s="54">
        <v>21</v>
      </c>
      <c r="BX52" s="3" t="s">
        <v>227</v>
      </c>
    </row>
    <row r="53" spans="1:76" x14ac:dyDescent="0.25">
      <c r="A53" s="49" t="s">
        <v>4</v>
      </c>
      <c r="B53" s="50" t="s">
        <v>182</v>
      </c>
      <c r="C53" s="161" t="s">
        <v>232</v>
      </c>
      <c r="D53" s="162"/>
      <c r="E53" s="51" t="s">
        <v>69</v>
      </c>
      <c r="F53" s="51" t="s">
        <v>69</v>
      </c>
      <c r="G53" s="52" t="s">
        <v>69</v>
      </c>
      <c r="H53" s="28">
        <f>SUM(H54:H61)</f>
        <v>0</v>
      </c>
      <c r="I53" s="28">
        <f>SUM(I54:I61)</f>
        <v>0</v>
      </c>
      <c r="J53" s="28">
        <f>SUM(J54:J61)</f>
        <v>0</v>
      </c>
      <c r="K53" s="53" t="s">
        <v>4</v>
      </c>
      <c r="AI53" s="34" t="s">
        <v>224</v>
      </c>
      <c r="AS53" s="28">
        <f>SUM(AJ54:AJ61)</f>
        <v>0</v>
      </c>
      <c r="AT53" s="28">
        <f>SUM(AK54:AK61)</f>
        <v>0</v>
      </c>
      <c r="AU53" s="28">
        <f>SUM(AL54:AL61)</f>
        <v>0</v>
      </c>
    </row>
    <row r="54" spans="1:76" x14ac:dyDescent="0.25">
      <c r="A54" s="1" t="s">
        <v>233</v>
      </c>
      <c r="B54" s="2" t="s">
        <v>234</v>
      </c>
      <c r="C54" s="83" t="s">
        <v>235</v>
      </c>
      <c r="D54" s="78"/>
      <c r="E54" s="2" t="s">
        <v>111</v>
      </c>
      <c r="F54" s="54">
        <v>3</v>
      </c>
      <c r="G54" s="55">
        <v>0</v>
      </c>
      <c r="H54" s="54">
        <f t="shared" ref="H54:H61" si="46">ROUND(F54*AO54,2)</f>
        <v>0</v>
      </c>
      <c r="I54" s="54">
        <f t="shared" ref="I54:I61" si="47">ROUND(F54*AP54,2)</f>
        <v>0</v>
      </c>
      <c r="J54" s="54">
        <f t="shared" ref="J54:J61" si="48">ROUND(F54*G54,2)</f>
        <v>0</v>
      </c>
      <c r="K54" s="56" t="s">
        <v>120</v>
      </c>
      <c r="Z54" s="54">
        <f t="shared" ref="Z54:Z61" si="49">ROUND(IF(AQ54="5",BJ54,0),2)</f>
        <v>0</v>
      </c>
      <c r="AB54" s="54">
        <f t="shared" ref="AB54:AB61" si="50">ROUND(IF(AQ54="1",BH54,0),2)</f>
        <v>0</v>
      </c>
      <c r="AC54" s="54">
        <f t="shared" ref="AC54:AC61" si="51">ROUND(IF(AQ54="1",BI54,0),2)</f>
        <v>0</v>
      </c>
      <c r="AD54" s="54">
        <f t="shared" ref="AD54:AD61" si="52">ROUND(IF(AQ54="7",BH54,0),2)</f>
        <v>0</v>
      </c>
      <c r="AE54" s="54">
        <f t="shared" ref="AE54:AE61" si="53">ROUND(IF(AQ54="7",BI54,0),2)</f>
        <v>0</v>
      </c>
      <c r="AF54" s="54">
        <f t="shared" ref="AF54:AF61" si="54">ROUND(IF(AQ54="2",BH54,0),2)</f>
        <v>0</v>
      </c>
      <c r="AG54" s="54">
        <f t="shared" ref="AG54:AG61" si="55">ROUND(IF(AQ54="2",BI54,0),2)</f>
        <v>0</v>
      </c>
      <c r="AH54" s="54">
        <f t="shared" ref="AH54:AH61" si="56">ROUND(IF(AQ54="0",BJ54,0),2)</f>
        <v>0</v>
      </c>
      <c r="AI54" s="34" t="s">
        <v>224</v>
      </c>
      <c r="AJ54" s="54">
        <f t="shared" ref="AJ54:AJ61" si="57">IF(AN54=0,J54,0)</f>
        <v>0</v>
      </c>
      <c r="AK54" s="54">
        <f t="shared" ref="AK54:AK61" si="58">IF(AN54=0,J54,0)</f>
        <v>0</v>
      </c>
      <c r="AL54" s="54">
        <f t="shared" ref="AL54:AL61" si="59">IF(AN54=21,J54,0)</f>
        <v>0</v>
      </c>
      <c r="AN54" s="54">
        <v>21</v>
      </c>
      <c r="AO54" s="54">
        <f>G54*0</f>
        <v>0</v>
      </c>
      <c r="AP54" s="54">
        <f>G54*(1-0)</f>
        <v>0</v>
      </c>
      <c r="AQ54" s="57" t="s">
        <v>108</v>
      </c>
      <c r="AV54" s="54">
        <f t="shared" ref="AV54:AV61" si="60">ROUND(AW54+AX54,2)</f>
        <v>0</v>
      </c>
      <c r="AW54" s="54">
        <f t="shared" ref="AW54:AW61" si="61">ROUND(F54*AO54,2)</f>
        <v>0</v>
      </c>
      <c r="AX54" s="54">
        <f t="shared" ref="AX54:AX61" si="62">ROUND(F54*AP54,2)</f>
        <v>0</v>
      </c>
      <c r="AY54" s="57" t="s">
        <v>236</v>
      </c>
      <c r="AZ54" s="57" t="s">
        <v>230</v>
      </c>
      <c r="BA54" s="34" t="s">
        <v>231</v>
      </c>
      <c r="BC54" s="54">
        <f t="shared" ref="BC54:BC61" si="63">AW54+AX54</f>
        <v>0</v>
      </c>
      <c r="BD54" s="54">
        <f t="shared" ref="BD54:BD61" si="64">G54/(100-BE54)*100</f>
        <v>0</v>
      </c>
      <c r="BE54" s="54">
        <v>0</v>
      </c>
      <c r="BF54" s="54">
        <f>54</f>
        <v>54</v>
      </c>
      <c r="BH54" s="54">
        <f t="shared" ref="BH54:BH61" si="65">F54*AO54</f>
        <v>0</v>
      </c>
      <c r="BI54" s="54">
        <f t="shared" ref="BI54:BI61" si="66">F54*AP54</f>
        <v>0</v>
      </c>
      <c r="BJ54" s="54">
        <f t="shared" ref="BJ54:BJ61" si="67">F54*G54</f>
        <v>0</v>
      </c>
      <c r="BK54" s="57" t="s">
        <v>115</v>
      </c>
      <c r="BL54" s="54">
        <v>18</v>
      </c>
      <c r="BW54" s="54">
        <v>21</v>
      </c>
      <c r="BX54" s="3" t="s">
        <v>235</v>
      </c>
    </row>
    <row r="55" spans="1:76" x14ac:dyDescent="0.25">
      <c r="A55" s="1" t="s">
        <v>237</v>
      </c>
      <c r="B55" s="2" t="s">
        <v>238</v>
      </c>
      <c r="C55" s="83" t="s">
        <v>239</v>
      </c>
      <c r="D55" s="78"/>
      <c r="E55" s="2" t="s">
        <v>177</v>
      </c>
      <c r="F55" s="54">
        <v>4.88</v>
      </c>
      <c r="G55" s="55">
        <v>0</v>
      </c>
      <c r="H55" s="54">
        <f t="shared" si="46"/>
        <v>0</v>
      </c>
      <c r="I55" s="54">
        <f t="shared" si="47"/>
        <v>0</v>
      </c>
      <c r="J55" s="54">
        <f t="shared" si="48"/>
        <v>0</v>
      </c>
      <c r="K55" s="56" t="s">
        <v>4</v>
      </c>
      <c r="Z55" s="54">
        <f t="shared" si="49"/>
        <v>0</v>
      </c>
      <c r="AB55" s="54">
        <f t="shared" si="50"/>
        <v>0</v>
      </c>
      <c r="AC55" s="54">
        <f t="shared" si="51"/>
        <v>0</v>
      </c>
      <c r="AD55" s="54">
        <f t="shared" si="52"/>
        <v>0</v>
      </c>
      <c r="AE55" s="54">
        <f t="shared" si="53"/>
        <v>0</v>
      </c>
      <c r="AF55" s="54">
        <f t="shared" si="54"/>
        <v>0</v>
      </c>
      <c r="AG55" s="54">
        <f t="shared" si="55"/>
        <v>0</v>
      </c>
      <c r="AH55" s="54">
        <f t="shared" si="56"/>
        <v>0</v>
      </c>
      <c r="AI55" s="34" t="s">
        <v>224</v>
      </c>
      <c r="AJ55" s="54">
        <f t="shared" si="57"/>
        <v>0</v>
      </c>
      <c r="AK55" s="54">
        <f t="shared" si="58"/>
        <v>0</v>
      </c>
      <c r="AL55" s="54">
        <f t="shared" si="59"/>
        <v>0</v>
      </c>
      <c r="AN55" s="54">
        <v>21</v>
      </c>
      <c r="AO55" s="54">
        <f>G55*0</f>
        <v>0</v>
      </c>
      <c r="AP55" s="54">
        <f>G55*(1-0)</f>
        <v>0</v>
      </c>
      <c r="AQ55" s="57" t="s">
        <v>108</v>
      </c>
      <c r="AV55" s="54">
        <f t="shared" si="60"/>
        <v>0</v>
      </c>
      <c r="AW55" s="54">
        <f t="shared" si="61"/>
        <v>0</v>
      </c>
      <c r="AX55" s="54">
        <f t="shared" si="62"/>
        <v>0</v>
      </c>
      <c r="AY55" s="57" t="s">
        <v>236</v>
      </c>
      <c r="AZ55" s="57" t="s">
        <v>230</v>
      </c>
      <c r="BA55" s="34" t="s">
        <v>231</v>
      </c>
      <c r="BC55" s="54">
        <f t="shared" si="63"/>
        <v>0</v>
      </c>
      <c r="BD55" s="54">
        <f t="shared" si="64"/>
        <v>0</v>
      </c>
      <c r="BE55" s="54">
        <v>0</v>
      </c>
      <c r="BF55" s="54">
        <f>55</f>
        <v>55</v>
      </c>
      <c r="BH55" s="54">
        <f t="shared" si="65"/>
        <v>0</v>
      </c>
      <c r="BI55" s="54">
        <f t="shared" si="66"/>
        <v>0</v>
      </c>
      <c r="BJ55" s="54">
        <f t="shared" si="67"/>
        <v>0</v>
      </c>
      <c r="BK55" s="57" t="s">
        <v>115</v>
      </c>
      <c r="BL55" s="54">
        <v>18</v>
      </c>
      <c r="BW55" s="54">
        <v>21</v>
      </c>
      <c r="BX55" s="3" t="s">
        <v>239</v>
      </c>
    </row>
    <row r="56" spans="1:76" x14ac:dyDescent="0.25">
      <c r="A56" s="1" t="s">
        <v>240</v>
      </c>
      <c r="B56" s="2" t="s">
        <v>241</v>
      </c>
      <c r="C56" s="83" t="s">
        <v>242</v>
      </c>
      <c r="D56" s="78"/>
      <c r="E56" s="2" t="s">
        <v>177</v>
      </c>
      <c r="F56" s="54">
        <v>4.88</v>
      </c>
      <c r="G56" s="55">
        <v>0</v>
      </c>
      <c r="H56" s="54">
        <f t="shared" si="46"/>
        <v>0</v>
      </c>
      <c r="I56" s="54">
        <f t="shared" si="47"/>
        <v>0</v>
      </c>
      <c r="J56" s="54">
        <f t="shared" si="48"/>
        <v>0</v>
      </c>
      <c r="K56" s="56" t="s">
        <v>120</v>
      </c>
      <c r="Z56" s="54">
        <f t="shared" si="49"/>
        <v>0</v>
      </c>
      <c r="AB56" s="54">
        <f t="shared" si="50"/>
        <v>0</v>
      </c>
      <c r="AC56" s="54">
        <f t="shared" si="51"/>
        <v>0</v>
      </c>
      <c r="AD56" s="54">
        <f t="shared" si="52"/>
        <v>0</v>
      </c>
      <c r="AE56" s="54">
        <f t="shared" si="53"/>
        <v>0</v>
      </c>
      <c r="AF56" s="54">
        <f t="shared" si="54"/>
        <v>0</v>
      </c>
      <c r="AG56" s="54">
        <f t="shared" si="55"/>
        <v>0</v>
      </c>
      <c r="AH56" s="54">
        <f t="shared" si="56"/>
        <v>0</v>
      </c>
      <c r="AI56" s="34" t="s">
        <v>224</v>
      </c>
      <c r="AJ56" s="54">
        <f t="shared" si="57"/>
        <v>0</v>
      </c>
      <c r="AK56" s="54">
        <f t="shared" si="58"/>
        <v>0</v>
      </c>
      <c r="AL56" s="54">
        <f t="shared" si="59"/>
        <v>0</v>
      </c>
      <c r="AN56" s="54">
        <v>21</v>
      </c>
      <c r="AO56" s="54">
        <f>G56*0</f>
        <v>0</v>
      </c>
      <c r="AP56" s="54">
        <f>G56*(1-0)</f>
        <v>0</v>
      </c>
      <c r="AQ56" s="57" t="s">
        <v>108</v>
      </c>
      <c r="AV56" s="54">
        <f t="shared" si="60"/>
        <v>0</v>
      </c>
      <c r="AW56" s="54">
        <f t="shared" si="61"/>
        <v>0</v>
      </c>
      <c r="AX56" s="54">
        <f t="shared" si="62"/>
        <v>0</v>
      </c>
      <c r="AY56" s="57" t="s">
        <v>236</v>
      </c>
      <c r="AZ56" s="57" t="s">
        <v>230</v>
      </c>
      <c r="BA56" s="34" t="s">
        <v>231</v>
      </c>
      <c r="BC56" s="54">
        <f t="shared" si="63"/>
        <v>0</v>
      </c>
      <c r="BD56" s="54">
        <f t="shared" si="64"/>
        <v>0</v>
      </c>
      <c r="BE56" s="54">
        <v>0</v>
      </c>
      <c r="BF56" s="54">
        <f>56</f>
        <v>56</v>
      </c>
      <c r="BH56" s="54">
        <f t="shared" si="65"/>
        <v>0</v>
      </c>
      <c r="BI56" s="54">
        <f t="shared" si="66"/>
        <v>0</v>
      </c>
      <c r="BJ56" s="54">
        <f t="shared" si="67"/>
        <v>0</v>
      </c>
      <c r="BK56" s="57" t="s">
        <v>115</v>
      </c>
      <c r="BL56" s="54">
        <v>18</v>
      </c>
      <c r="BW56" s="54">
        <v>21</v>
      </c>
      <c r="BX56" s="3" t="s">
        <v>242</v>
      </c>
    </row>
    <row r="57" spans="1:76" x14ac:dyDescent="0.25">
      <c r="A57" s="1" t="s">
        <v>243</v>
      </c>
      <c r="B57" s="2" t="s">
        <v>244</v>
      </c>
      <c r="C57" s="83" t="s">
        <v>245</v>
      </c>
      <c r="D57" s="78"/>
      <c r="E57" s="2" t="s">
        <v>111</v>
      </c>
      <c r="F57" s="54">
        <v>3</v>
      </c>
      <c r="G57" s="55">
        <v>0</v>
      </c>
      <c r="H57" s="54">
        <f t="shared" si="46"/>
        <v>0</v>
      </c>
      <c r="I57" s="54">
        <f t="shared" si="47"/>
        <v>0</v>
      </c>
      <c r="J57" s="54">
        <f t="shared" si="48"/>
        <v>0</v>
      </c>
      <c r="K57" s="56" t="s">
        <v>120</v>
      </c>
      <c r="Z57" s="54">
        <f t="shared" si="49"/>
        <v>0</v>
      </c>
      <c r="AB57" s="54">
        <f t="shared" si="50"/>
        <v>0</v>
      </c>
      <c r="AC57" s="54">
        <f t="shared" si="51"/>
        <v>0</v>
      </c>
      <c r="AD57" s="54">
        <f t="shared" si="52"/>
        <v>0</v>
      </c>
      <c r="AE57" s="54">
        <f t="shared" si="53"/>
        <v>0</v>
      </c>
      <c r="AF57" s="54">
        <f t="shared" si="54"/>
        <v>0</v>
      </c>
      <c r="AG57" s="54">
        <f t="shared" si="55"/>
        <v>0</v>
      </c>
      <c r="AH57" s="54">
        <f t="shared" si="56"/>
        <v>0</v>
      </c>
      <c r="AI57" s="34" t="s">
        <v>224</v>
      </c>
      <c r="AJ57" s="54">
        <f t="shared" si="57"/>
        <v>0</v>
      </c>
      <c r="AK57" s="54">
        <f t="shared" si="58"/>
        <v>0</v>
      </c>
      <c r="AL57" s="54">
        <f t="shared" si="59"/>
        <v>0</v>
      </c>
      <c r="AN57" s="54">
        <v>21</v>
      </c>
      <c r="AO57" s="54">
        <f>G57*0.005703212</f>
        <v>0</v>
      </c>
      <c r="AP57" s="54">
        <f>G57*(1-0.005703212)</f>
        <v>0</v>
      </c>
      <c r="AQ57" s="57" t="s">
        <v>108</v>
      </c>
      <c r="AV57" s="54">
        <f t="shared" si="60"/>
        <v>0</v>
      </c>
      <c r="AW57" s="54">
        <f t="shared" si="61"/>
        <v>0</v>
      </c>
      <c r="AX57" s="54">
        <f t="shared" si="62"/>
        <v>0</v>
      </c>
      <c r="AY57" s="57" t="s">
        <v>236</v>
      </c>
      <c r="AZ57" s="57" t="s">
        <v>230</v>
      </c>
      <c r="BA57" s="34" t="s">
        <v>231</v>
      </c>
      <c r="BC57" s="54">
        <f t="shared" si="63"/>
        <v>0</v>
      </c>
      <c r="BD57" s="54">
        <f t="shared" si="64"/>
        <v>0</v>
      </c>
      <c r="BE57" s="54">
        <v>0</v>
      </c>
      <c r="BF57" s="54">
        <f>57</f>
        <v>57</v>
      </c>
      <c r="BH57" s="54">
        <f t="shared" si="65"/>
        <v>0</v>
      </c>
      <c r="BI57" s="54">
        <f t="shared" si="66"/>
        <v>0</v>
      </c>
      <c r="BJ57" s="54">
        <f t="shared" si="67"/>
        <v>0</v>
      </c>
      <c r="BK57" s="57" t="s">
        <v>115</v>
      </c>
      <c r="BL57" s="54">
        <v>18</v>
      </c>
      <c r="BW57" s="54">
        <v>21</v>
      </c>
      <c r="BX57" s="3" t="s">
        <v>245</v>
      </c>
    </row>
    <row r="58" spans="1:76" x14ac:dyDescent="0.25">
      <c r="A58" s="1" t="s">
        <v>246</v>
      </c>
      <c r="B58" s="2" t="s">
        <v>247</v>
      </c>
      <c r="C58" s="83" t="s">
        <v>248</v>
      </c>
      <c r="D58" s="78"/>
      <c r="E58" s="2" t="s">
        <v>214</v>
      </c>
      <c r="F58" s="54">
        <v>3</v>
      </c>
      <c r="G58" s="55">
        <v>0</v>
      </c>
      <c r="H58" s="54">
        <f t="shared" si="46"/>
        <v>0</v>
      </c>
      <c r="I58" s="54">
        <f t="shared" si="47"/>
        <v>0</v>
      </c>
      <c r="J58" s="54">
        <f t="shared" si="48"/>
        <v>0</v>
      </c>
      <c r="K58" s="56" t="s">
        <v>120</v>
      </c>
      <c r="Z58" s="54">
        <f t="shared" si="49"/>
        <v>0</v>
      </c>
      <c r="AB58" s="54">
        <f t="shared" si="50"/>
        <v>0</v>
      </c>
      <c r="AC58" s="54">
        <f t="shared" si="51"/>
        <v>0</v>
      </c>
      <c r="AD58" s="54">
        <f t="shared" si="52"/>
        <v>0</v>
      </c>
      <c r="AE58" s="54">
        <f t="shared" si="53"/>
        <v>0</v>
      </c>
      <c r="AF58" s="54">
        <f t="shared" si="54"/>
        <v>0</v>
      </c>
      <c r="AG58" s="54">
        <f t="shared" si="55"/>
        <v>0</v>
      </c>
      <c r="AH58" s="54">
        <f t="shared" si="56"/>
        <v>0</v>
      </c>
      <c r="AI58" s="34" t="s">
        <v>224</v>
      </c>
      <c r="AJ58" s="54">
        <f t="shared" si="57"/>
        <v>0</v>
      </c>
      <c r="AK58" s="54">
        <f t="shared" si="58"/>
        <v>0</v>
      </c>
      <c r="AL58" s="54">
        <f t="shared" si="59"/>
        <v>0</v>
      </c>
      <c r="AN58" s="54">
        <v>21</v>
      </c>
      <c r="AO58" s="54">
        <f>G58*0</f>
        <v>0</v>
      </c>
      <c r="AP58" s="54">
        <f>G58*(1-0)</f>
        <v>0</v>
      </c>
      <c r="AQ58" s="57" t="s">
        <v>108</v>
      </c>
      <c r="AV58" s="54">
        <f t="shared" si="60"/>
        <v>0</v>
      </c>
      <c r="AW58" s="54">
        <f t="shared" si="61"/>
        <v>0</v>
      </c>
      <c r="AX58" s="54">
        <f t="shared" si="62"/>
        <v>0</v>
      </c>
      <c r="AY58" s="57" t="s">
        <v>236</v>
      </c>
      <c r="AZ58" s="57" t="s">
        <v>230</v>
      </c>
      <c r="BA58" s="34" t="s">
        <v>231</v>
      </c>
      <c r="BC58" s="54">
        <f t="shared" si="63"/>
        <v>0</v>
      </c>
      <c r="BD58" s="54">
        <f t="shared" si="64"/>
        <v>0</v>
      </c>
      <c r="BE58" s="54">
        <v>0</v>
      </c>
      <c r="BF58" s="54">
        <f>58</f>
        <v>58</v>
      </c>
      <c r="BH58" s="54">
        <f t="shared" si="65"/>
        <v>0</v>
      </c>
      <c r="BI58" s="54">
        <f t="shared" si="66"/>
        <v>0</v>
      </c>
      <c r="BJ58" s="54">
        <f t="shared" si="67"/>
        <v>0</v>
      </c>
      <c r="BK58" s="57" t="s">
        <v>115</v>
      </c>
      <c r="BL58" s="54">
        <v>18</v>
      </c>
      <c r="BW58" s="54">
        <v>21</v>
      </c>
      <c r="BX58" s="3" t="s">
        <v>248</v>
      </c>
    </row>
    <row r="59" spans="1:76" x14ac:dyDescent="0.25">
      <c r="A59" s="1" t="s">
        <v>249</v>
      </c>
      <c r="B59" s="2" t="s">
        <v>250</v>
      </c>
      <c r="C59" s="83" t="s">
        <v>251</v>
      </c>
      <c r="D59" s="78"/>
      <c r="E59" s="2" t="s">
        <v>214</v>
      </c>
      <c r="F59" s="54">
        <v>3</v>
      </c>
      <c r="G59" s="55">
        <v>0</v>
      </c>
      <c r="H59" s="54">
        <f t="shared" si="46"/>
        <v>0</v>
      </c>
      <c r="I59" s="54">
        <f t="shared" si="47"/>
        <v>0</v>
      </c>
      <c r="J59" s="54">
        <f t="shared" si="48"/>
        <v>0</v>
      </c>
      <c r="K59" s="56" t="s">
        <v>120</v>
      </c>
      <c r="Z59" s="54">
        <f t="shared" si="49"/>
        <v>0</v>
      </c>
      <c r="AB59" s="54">
        <f t="shared" si="50"/>
        <v>0</v>
      </c>
      <c r="AC59" s="54">
        <f t="shared" si="51"/>
        <v>0</v>
      </c>
      <c r="AD59" s="54">
        <f t="shared" si="52"/>
        <v>0</v>
      </c>
      <c r="AE59" s="54">
        <f t="shared" si="53"/>
        <v>0</v>
      </c>
      <c r="AF59" s="54">
        <f t="shared" si="54"/>
        <v>0</v>
      </c>
      <c r="AG59" s="54">
        <f t="shared" si="55"/>
        <v>0</v>
      </c>
      <c r="AH59" s="54">
        <f t="shared" si="56"/>
        <v>0</v>
      </c>
      <c r="AI59" s="34" t="s">
        <v>224</v>
      </c>
      <c r="AJ59" s="54">
        <f t="shared" si="57"/>
        <v>0</v>
      </c>
      <c r="AK59" s="54">
        <f t="shared" si="58"/>
        <v>0</v>
      </c>
      <c r="AL59" s="54">
        <f t="shared" si="59"/>
        <v>0</v>
      </c>
      <c r="AN59" s="54">
        <v>21</v>
      </c>
      <c r="AO59" s="54">
        <f>G59*0</f>
        <v>0</v>
      </c>
      <c r="AP59" s="54">
        <f>G59*(1-0)</f>
        <v>0</v>
      </c>
      <c r="AQ59" s="57" t="s">
        <v>108</v>
      </c>
      <c r="AV59" s="54">
        <f t="shared" si="60"/>
        <v>0</v>
      </c>
      <c r="AW59" s="54">
        <f t="shared" si="61"/>
        <v>0</v>
      </c>
      <c r="AX59" s="54">
        <f t="shared" si="62"/>
        <v>0</v>
      </c>
      <c r="AY59" s="57" t="s">
        <v>236</v>
      </c>
      <c r="AZ59" s="57" t="s">
        <v>230</v>
      </c>
      <c r="BA59" s="34" t="s">
        <v>231</v>
      </c>
      <c r="BC59" s="54">
        <f t="shared" si="63"/>
        <v>0</v>
      </c>
      <c r="BD59" s="54">
        <f t="shared" si="64"/>
        <v>0</v>
      </c>
      <c r="BE59" s="54">
        <v>0</v>
      </c>
      <c r="BF59" s="54">
        <f>59</f>
        <v>59</v>
      </c>
      <c r="BH59" s="54">
        <f t="shared" si="65"/>
        <v>0</v>
      </c>
      <c r="BI59" s="54">
        <f t="shared" si="66"/>
        <v>0</v>
      </c>
      <c r="BJ59" s="54">
        <f t="shared" si="67"/>
        <v>0</v>
      </c>
      <c r="BK59" s="57" t="s">
        <v>115</v>
      </c>
      <c r="BL59" s="54">
        <v>18</v>
      </c>
      <c r="BW59" s="54">
        <v>21</v>
      </c>
      <c r="BX59" s="3" t="s">
        <v>251</v>
      </c>
    </row>
    <row r="60" spans="1:76" x14ac:dyDescent="0.25">
      <c r="A60" s="1" t="s">
        <v>252</v>
      </c>
      <c r="B60" s="2" t="s">
        <v>253</v>
      </c>
      <c r="C60" s="83" t="s">
        <v>254</v>
      </c>
      <c r="D60" s="78"/>
      <c r="E60" s="2" t="s">
        <v>111</v>
      </c>
      <c r="F60" s="54">
        <v>3</v>
      </c>
      <c r="G60" s="55">
        <v>0</v>
      </c>
      <c r="H60" s="54">
        <f t="shared" si="46"/>
        <v>0</v>
      </c>
      <c r="I60" s="54">
        <f t="shared" si="47"/>
        <v>0</v>
      </c>
      <c r="J60" s="54">
        <f t="shared" si="48"/>
        <v>0</v>
      </c>
      <c r="K60" s="56" t="s">
        <v>120</v>
      </c>
      <c r="Z60" s="54">
        <f t="shared" si="49"/>
        <v>0</v>
      </c>
      <c r="AB60" s="54">
        <f t="shared" si="50"/>
        <v>0</v>
      </c>
      <c r="AC60" s="54">
        <f t="shared" si="51"/>
        <v>0</v>
      </c>
      <c r="AD60" s="54">
        <f t="shared" si="52"/>
        <v>0</v>
      </c>
      <c r="AE60" s="54">
        <f t="shared" si="53"/>
        <v>0</v>
      </c>
      <c r="AF60" s="54">
        <f t="shared" si="54"/>
        <v>0</v>
      </c>
      <c r="AG60" s="54">
        <f t="shared" si="55"/>
        <v>0</v>
      </c>
      <c r="AH60" s="54">
        <f t="shared" si="56"/>
        <v>0</v>
      </c>
      <c r="AI60" s="34" t="s">
        <v>224</v>
      </c>
      <c r="AJ60" s="54">
        <f t="shared" si="57"/>
        <v>0</v>
      </c>
      <c r="AK60" s="54">
        <f t="shared" si="58"/>
        <v>0</v>
      </c>
      <c r="AL60" s="54">
        <f t="shared" si="59"/>
        <v>0</v>
      </c>
      <c r="AN60" s="54">
        <v>21</v>
      </c>
      <c r="AO60" s="54">
        <f>G60*0</f>
        <v>0</v>
      </c>
      <c r="AP60" s="54">
        <f>G60*(1-0)</f>
        <v>0</v>
      </c>
      <c r="AQ60" s="57" t="s">
        <v>108</v>
      </c>
      <c r="AV60" s="54">
        <f t="shared" si="60"/>
        <v>0</v>
      </c>
      <c r="AW60" s="54">
        <f t="shared" si="61"/>
        <v>0</v>
      </c>
      <c r="AX60" s="54">
        <f t="shared" si="62"/>
        <v>0</v>
      </c>
      <c r="AY60" s="57" t="s">
        <v>236</v>
      </c>
      <c r="AZ60" s="57" t="s">
        <v>230</v>
      </c>
      <c r="BA60" s="34" t="s">
        <v>231</v>
      </c>
      <c r="BC60" s="54">
        <f t="shared" si="63"/>
        <v>0</v>
      </c>
      <c r="BD60" s="54">
        <f t="shared" si="64"/>
        <v>0</v>
      </c>
      <c r="BE60" s="54">
        <v>0</v>
      </c>
      <c r="BF60" s="54">
        <f>60</f>
        <v>60</v>
      </c>
      <c r="BH60" s="54">
        <f t="shared" si="65"/>
        <v>0</v>
      </c>
      <c r="BI60" s="54">
        <f t="shared" si="66"/>
        <v>0</v>
      </c>
      <c r="BJ60" s="54">
        <f t="shared" si="67"/>
        <v>0</v>
      </c>
      <c r="BK60" s="57" t="s">
        <v>115</v>
      </c>
      <c r="BL60" s="54">
        <v>18</v>
      </c>
      <c r="BW60" s="54">
        <v>21</v>
      </c>
      <c r="BX60" s="3" t="s">
        <v>254</v>
      </c>
    </row>
    <row r="61" spans="1:76" x14ac:dyDescent="0.25">
      <c r="A61" s="1" t="s">
        <v>255</v>
      </c>
      <c r="B61" s="2" t="s">
        <v>256</v>
      </c>
      <c r="C61" s="83" t="s">
        <v>257</v>
      </c>
      <c r="D61" s="78"/>
      <c r="E61" s="2" t="s">
        <v>177</v>
      </c>
      <c r="F61" s="54">
        <v>0.3</v>
      </c>
      <c r="G61" s="55">
        <v>0</v>
      </c>
      <c r="H61" s="54">
        <f t="shared" si="46"/>
        <v>0</v>
      </c>
      <c r="I61" s="54">
        <f t="shared" si="47"/>
        <v>0</v>
      </c>
      <c r="J61" s="54">
        <f t="shared" si="48"/>
        <v>0</v>
      </c>
      <c r="K61" s="56" t="s">
        <v>120</v>
      </c>
      <c r="Z61" s="54">
        <f t="shared" si="49"/>
        <v>0</v>
      </c>
      <c r="AB61" s="54">
        <f t="shared" si="50"/>
        <v>0</v>
      </c>
      <c r="AC61" s="54">
        <f t="shared" si="51"/>
        <v>0</v>
      </c>
      <c r="AD61" s="54">
        <f t="shared" si="52"/>
        <v>0</v>
      </c>
      <c r="AE61" s="54">
        <f t="shared" si="53"/>
        <v>0</v>
      </c>
      <c r="AF61" s="54">
        <f t="shared" si="54"/>
        <v>0</v>
      </c>
      <c r="AG61" s="54">
        <f t="shared" si="55"/>
        <v>0</v>
      </c>
      <c r="AH61" s="54">
        <f t="shared" si="56"/>
        <v>0</v>
      </c>
      <c r="AI61" s="34" t="s">
        <v>224</v>
      </c>
      <c r="AJ61" s="54">
        <f t="shared" si="57"/>
        <v>0</v>
      </c>
      <c r="AK61" s="54">
        <f t="shared" si="58"/>
        <v>0</v>
      </c>
      <c r="AL61" s="54">
        <f t="shared" si="59"/>
        <v>0</v>
      </c>
      <c r="AN61" s="54">
        <v>21</v>
      </c>
      <c r="AO61" s="54">
        <f>G61*0</f>
        <v>0</v>
      </c>
      <c r="AP61" s="54">
        <f>G61*(1-0)</f>
        <v>0</v>
      </c>
      <c r="AQ61" s="57" t="s">
        <v>108</v>
      </c>
      <c r="AV61" s="54">
        <f t="shared" si="60"/>
        <v>0</v>
      </c>
      <c r="AW61" s="54">
        <f t="shared" si="61"/>
        <v>0</v>
      </c>
      <c r="AX61" s="54">
        <f t="shared" si="62"/>
        <v>0</v>
      </c>
      <c r="AY61" s="57" t="s">
        <v>236</v>
      </c>
      <c r="AZ61" s="57" t="s">
        <v>230</v>
      </c>
      <c r="BA61" s="34" t="s">
        <v>231</v>
      </c>
      <c r="BC61" s="54">
        <f t="shared" si="63"/>
        <v>0</v>
      </c>
      <c r="BD61" s="54">
        <f t="shared" si="64"/>
        <v>0</v>
      </c>
      <c r="BE61" s="54">
        <v>0</v>
      </c>
      <c r="BF61" s="54">
        <f>61</f>
        <v>61</v>
      </c>
      <c r="BH61" s="54">
        <f t="shared" si="65"/>
        <v>0</v>
      </c>
      <c r="BI61" s="54">
        <f t="shared" si="66"/>
        <v>0</v>
      </c>
      <c r="BJ61" s="54">
        <f t="shared" si="67"/>
        <v>0</v>
      </c>
      <c r="BK61" s="57" t="s">
        <v>115</v>
      </c>
      <c r="BL61" s="54">
        <v>18</v>
      </c>
      <c r="BW61" s="54">
        <v>21</v>
      </c>
      <c r="BX61" s="3" t="s">
        <v>257</v>
      </c>
    </row>
    <row r="62" spans="1:76" x14ac:dyDescent="0.25">
      <c r="A62" s="49" t="s">
        <v>4</v>
      </c>
      <c r="B62" s="50" t="s">
        <v>258</v>
      </c>
      <c r="C62" s="161" t="s">
        <v>259</v>
      </c>
      <c r="D62" s="162"/>
      <c r="E62" s="51" t="s">
        <v>69</v>
      </c>
      <c r="F62" s="51" t="s">
        <v>69</v>
      </c>
      <c r="G62" s="52" t="s">
        <v>69</v>
      </c>
      <c r="H62" s="28">
        <f>SUM(H63:H63)</f>
        <v>0</v>
      </c>
      <c r="I62" s="28">
        <f>SUM(I63:I63)</f>
        <v>0</v>
      </c>
      <c r="J62" s="28">
        <f>SUM(J63:J63)</f>
        <v>0</v>
      </c>
      <c r="K62" s="53" t="s">
        <v>4</v>
      </c>
      <c r="AI62" s="34" t="s">
        <v>224</v>
      </c>
      <c r="AS62" s="28">
        <f>SUM(AJ63:AJ63)</f>
        <v>0</v>
      </c>
      <c r="AT62" s="28">
        <f>SUM(AK63:AK63)</f>
        <v>0</v>
      </c>
      <c r="AU62" s="28">
        <f>SUM(AL63:AL63)</f>
        <v>0</v>
      </c>
    </row>
    <row r="63" spans="1:76" x14ac:dyDescent="0.25">
      <c r="A63" s="1" t="s">
        <v>260</v>
      </c>
      <c r="B63" s="2" t="s">
        <v>219</v>
      </c>
      <c r="C63" s="83" t="s">
        <v>220</v>
      </c>
      <c r="D63" s="78"/>
      <c r="E63" s="2" t="s">
        <v>136</v>
      </c>
      <c r="F63" s="54">
        <v>8.33</v>
      </c>
      <c r="G63" s="55">
        <v>0</v>
      </c>
      <c r="H63" s="54">
        <f>ROUND(F63*AO63,2)</f>
        <v>0</v>
      </c>
      <c r="I63" s="54">
        <f>ROUND(F63*AP63,2)</f>
        <v>0</v>
      </c>
      <c r="J63" s="54">
        <f>ROUND(F63*G63,2)</f>
        <v>0</v>
      </c>
      <c r="K63" s="56" t="s">
        <v>120</v>
      </c>
      <c r="Z63" s="54">
        <f>ROUND(IF(AQ63="5",BJ63,0),2)</f>
        <v>0</v>
      </c>
      <c r="AB63" s="54">
        <f>ROUND(IF(AQ63="1",BH63,0),2)</f>
        <v>0</v>
      </c>
      <c r="AC63" s="54">
        <f>ROUND(IF(AQ63="1",BI63,0),2)</f>
        <v>0</v>
      </c>
      <c r="AD63" s="54">
        <f>ROUND(IF(AQ63="7",BH63,0),2)</f>
        <v>0</v>
      </c>
      <c r="AE63" s="54">
        <f>ROUND(IF(AQ63="7",BI63,0),2)</f>
        <v>0</v>
      </c>
      <c r="AF63" s="54">
        <f>ROUND(IF(AQ63="2",BH63,0),2)</f>
        <v>0</v>
      </c>
      <c r="AG63" s="54">
        <f>ROUND(IF(AQ63="2",BI63,0),2)</f>
        <v>0</v>
      </c>
      <c r="AH63" s="54">
        <f>ROUND(IF(AQ63="0",BJ63,0),2)</f>
        <v>0</v>
      </c>
      <c r="AI63" s="34" t="s">
        <v>224</v>
      </c>
      <c r="AJ63" s="54">
        <f>IF(AN63=0,J63,0)</f>
        <v>0</v>
      </c>
      <c r="AK63" s="54">
        <f>IF(AN63=0,J63,0)</f>
        <v>0</v>
      </c>
      <c r="AL63" s="54">
        <f>IF(AN63=21,J63,0)</f>
        <v>0</v>
      </c>
      <c r="AN63" s="54">
        <v>21</v>
      </c>
      <c r="AO63" s="54">
        <f>G63*0</f>
        <v>0</v>
      </c>
      <c r="AP63" s="54">
        <f>G63*(1-0)</f>
        <v>0</v>
      </c>
      <c r="AQ63" s="57" t="s">
        <v>129</v>
      </c>
      <c r="AV63" s="54">
        <f>ROUND(AW63+AX63,2)</f>
        <v>0</v>
      </c>
      <c r="AW63" s="54">
        <f>ROUND(F63*AO63,2)</f>
        <v>0</v>
      </c>
      <c r="AX63" s="54">
        <f>ROUND(F63*AP63,2)</f>
        <v>0</v>
      </c>
      <c r="AY63" s="57" t="s">
        <v>261</v>
      </c>
      <c r="AZ63" s="57" t="s">
        <v>262</v>
      </c>
      <c r="BA63" s="34" t="s">
        <v>231</v>
      </c>
      <c r="BC63" s="54">
        <f>AW63+AX63</f>
        <v>0</v>
      </c>
      <c r="BD63" s="54">
        <f>G63/(100-BE63)*100</f>
        <v>0</v>
      </c>
      <c r="BE63" s="54">
        <v>0</v>
      </c>
      <c r="BF63" s="54">
        <f>63</f>
        <v>63</v>
      </c>
      <c r="BH63" s="54">
        <f>F63*AO63</f>
        <v>0</v>
      </c>
      <c r="BI63" s="54">
        <f>F63*AP63</f>
        <v>0</v>
      </c>
      <c r="BJ63" s="54">
        <f>F63*G63</f>
        <v>0</v>
      </c>
      <c r="BK63" s="57" t="s">
        <v>115</v>
      </c>
      <c r="BL63" s="54"/>
      <c r="BW63" s="54">
        <v>21</v>
      </c>
      <c r="BX63" s="3" t="s">
        <v>220</v>
      </c>
    </row>
    <row r="64" spans="1:76" x14ac:dyDescent="0.25">
      <c r="A64" s="49" t="s">
        <v>4</v>
      </c>
      <c r="B64" s="50" t="s">
        <v>190</v>
      </c>
      <c r="C64" s="161" t="s">
        <v>40</v>
      </c>
      <c r="D64" s="162"/>
      <c r="E64" s="51" t="s">
        <v>69</v>
      </c>
      <c r="F64" s="51" t="s">
        <v>69</v>
      </c>
      <c r="G64" s="52" t="s">
        <v>69</v>
      </c>
      <c r="H64" s="28">
        <f>SUM(H65:H72)</f>
        <v>0</v>
      </c>
      <c r="I64" s="28">
        <f>SUM(I65:I72)</f>
        <v>0</v>
      </c>
      <c r="J64" s="28">
        <f>SUM(J65:J72)</f>
        <v>0</v>
      </c>
      <c r="K64" s="53" t="s">
        <v>4</v>
      </c>
      <c r="AI64" s="34" t="s">
        <v>224</v>
      </c>
      <c r="AS64" s="28">
        <f>SUM(AJ65:AJ72)</f>
        <v>0</v>
      </c>
      <c r="AT64" s="28">
        <f>SUM(AK65:AK72)</f>
        <v>0</v>
      </c>
      <c r="AU64" s="28">
        <f>SUM(AL65:AL72)</f>
        <v>0</v>
      </c>
    </row>
    <row r="65" spans="1:76" x14ac:dyDescent="0.25">
      <c r="A65" s="1" t="s">
        <v>263</v>
      </c>
      <c r="B65" s="2" t="s">
        <v>264</v>
      </c>
      <c r="C65" s="83" t="s">
        <v>265</v>
      </c>
      <c r="D65" s="78"/>
      <c r="E65" s="2" t="s">
        <v>214</v>
      </c>
      <c r="F65" s="54">
        <v>36</v>
      </c>
      <c r="G65" s="55">
        <v>0</v>
      </c>
      <c r="H65" s="54">
        <f t="shared" ref="H65:H72" si="68">ROUND(F65*AO65,2)</f>
        <v>0</v>
      </c>
      <c r="I65" s="54">
        <f t="shared" ref="I65:I72" si="69">ROUND(F65*AP65,2)</f>
        <v>0</v>
      </c>
      <c r="J65" s="54">
        <f t="shared" ref="J65:J72" si="70">ROUND(F65*G65,2)</f>
        <v>0</v>
      </c>
      <c r="K65" s="56" t="s">
        <v>120</v>
      </c>
      <c r="Z65" s="54">
        <f t="shared" ref="Z65:Z72" si="71">ROUND(IF(AQ65="5",BJ65,0),2)</f>
        <v>0</v>
      </c>
      <c r="AB65" s="54">
        <f t="shared" ref="AB65:AB72" si="72">ROUND(IF(AQ65="1",BH65,0),2)</f>
        <v>0</v>
      </c>
      <c r="AC65" s="54">
        <f t="shared" ref="AC65:AC72" si="73">ROUND(IF(AQ65="1",BI65,0),2)</f>
        <v>0</v>
      </c>
      <c r="AD65" s="54">
        <f t="shared" ref="AD65:AD72" si="74">ROUND(IF(AQ65="7",BH65,0),2)</f>
        <v>0</v>
      </c>
      <c r="AE65" s="54">
        <f t="shared" ref="AE65:AE72" si="75">ROUND(IF(AQ65="7",BI65,0),2)</f>
        <v>0</v>
      </c>
      <c r="AF65" s="54">
        <f t="shared" ref="AF65:AF72" si="76">ROUND(IF(AQ65="2",BH65,0),2)</f>
        <v>0</v>
      </c>
      <c r="AG65" s="54">
        <f t="shared" ref="AG65:AG72" si="77">ROUND(IF(AQ65="2",BI65,0),2)</f>
        <v>0</v>
      </c>
      <c r="AH65" s="54">
        <f t="shared" ref="AH65:AH72" si="78">ROUND(IF(AQ65="0",BJ65,0),2)</f>
        <v>0</v>
      </c>
      <c r="AI65" s="34" t="s">
        <v>224</v>
      </c>
      <c r="AJ65" s="54">
        <f t="shared" ref="AJ65:AJ72" si="79">IF(AN65=0,J65,0)</f>
        <v>0</v>
      </c>
      <c r="AK65" s="54">
        <f t="shared" ref="AK65:AK72" si="80">IF(AN65=0,J65,0)</f>
        <v>0</v>
      </c>
      <c r="AL65" s="54">
        <f t="shared" ref="AL65:AL72" si="81">IF(AN65=21,J65,0)</f>
        <v>0</v>
      </c>
      <c r="AN65" s="54">
        <v>21</v>
      </c>
      <c r="AO65" s="54">
        <f t="shared" ref="AO65:AO72" si="82">G65*1</f>
        <v>0</v>
      </c>
      <c r="AP65" s="54">
        <f t="shared" ref="AP65:AP72" si="83">G65*(1-1)</f>
        <v>0</v>
      </c>
      <c r="AQ65" s="57" t="s">
        <v>194</v>
      </c>
      <c r="AV65" s="54">
        <f t="shared" ref="AV65:AV72" si="84">ROUND(AW65+AX65,2)</f>
        <v>0</v>
      </c>
      <c r="AW65" s="54">
        <f t="shared" ref="AW65:AW72" si="85">ROUND(F65*AO65,2)</f>
        <v>0</v>
      </c>
      <c r="AX65" s="54">
        <f t="shared" ref="AX65:AX72" si="86">ROUND(F65*AP65,2)</f>
        <v>0</v>
      </c>
      <c r="AY65" s="57" t="s">
        <v>195</v>
      </c>
      <c r="AZ65" s="57" t="s">
        <v>266</v>
      </c>
      <c r="BA65" s="34" t="s">
        <v>231</v>
      </c>
      <c r="BC65" s="54">
        <f t="shared" ref="BC65:BC72" si="87">AW65+AX65</f>
        <v>0</v>
      </c>
      <c r="BD65" s="54">
        <f t="shared" ref="BD65:BD72" si="88">G65/(100-BE65)*100</f>
        <v>0</v>
      </c>
      <c r="BE65" s="54">
        <v>0</v>
      </c>
      <c r="BF65" s="54">
        <f>65</f>
        <v>65</v>
      </c>
      <c r="BH65" s="54">
        <f t="shared" ref="BH65:BH72" si="89">F65*AO65</f>
        <v>0</v>
      </c>
      <c r="BI65" s="54">
        <f t="shared" ref="BI65:BI72" si="90">F65*AP65</f>
        <v>0</v>
      </c>
      <c r="BJ65" s="54">
        <f t="shared" ref="BJ65:BJ72" si="91">F65*G65</f>
        <v>0</v>
      </c>
      <c r="BK65" s="57" t="s">
        <v>190</v>
      </c>
      <c r="BL65" s="54"/>
      <c r="BW65" s="54">
        <v>21</v>
      </c>
      <c r="BX65" s="3" t="s">
        <v>265</v>
      </c>
    </row>
    <row r="66" spans="1:76" x14ac:dyDescent="0.25">
      <c r="A66" s="1" t="s">
        <v>267</v>
      </c>
      <c r="B66" s="2" t="s">
        <v>268</v>
      </c>
      <c r="C66" s="83" t="s">
        <v>269</v>
      </c>
      <c r="D66" s="78"/>
      <c r="E66" s="2" t="s">
        <v>214</v>
      </c>
      <c r="F66" s="54">
        <v>3</v>
      </c>
      <c r="G66" s="55">
        <v>0</v>
      </c>
      <c r="H66" s="54">
        <f t="shared" si="68"/>
        <v>0</v>
      </c>
      <c r="I66" s="54">
        <f t="shared" si="69"/>
        <v>0</v>
      </c>
      <c r="J66" s="54">
        <f t="shared" si="70"/>
        <v>0</v>
      </c>
      <c r="K66" s="56" t="s">
        <v>120</v>
      </c>
      <c r="Z66" s="54">
        <f t="shared" si="71"/>
        <v>0</v>
      </c>
      <c r="AB66" s="54">
        <f t="shared" si="72"/>
        <v>0</v>
      </c>
      <c r="AC66" s="54">
        <f t="shared" si="73"/>
        <v>0</v>
      </c>
      <c r="AD66" s="54">
        <f t="shared" si="74"/>
        <v>0</v>
      </c>
      <c r="AE66" s="54">
        <f t="shared" si="75"/>
        <v>0</v>
      </c>
      <c r="AF66" s="54">
        <f t="shared" si="76"/>
        <v>0</v>
      </c>
      <c r="AG66" s="54">
        <f t="shared" si="77"/>
        <v>0</v>
      </c>
      <c r="AH66" s="54">
        <f t="shared" si="78"/>
        <v>0</v>
      </c>
      <c r="AI66" s="34" t="s">
        <v>224</v>
      </c>
      <c r="AJ66" s="54">
        <f t="shared" si="79"/>
        <v>0</v>
      </c>
      <c r="AK66" s="54">
        <f t="shared" si="80"/>
        <v>0</v>
      </c>
      <c r="AL66" s="54">
        <f t="shared" si="81"/>
        <v>0</v>
      </c>
      <c r="AN66" s="54">
        <v>21</v>
      </c>
      <c r="AO66" s="54">
        <f t="shared" si="82"/>
        <v>0</v>
      </c>
      <c r="AP66" s="54">
        <f t="shared" si="83"/>
        <v>0</v>
      </c>
      <c r="AQ66" s="57" t="s">
        <v>194</v>
      </c>
      <c r="AV66" s="54">
        <f t="shared" si="84"/>
        <v>0</v>
      </c>
      <c r="AW66" s="54">
        <f t="shared" si="85"/>
        <v>0</v>
      </c>
      <c r="AX66" s="54">
        <f t="shared" si="86"/>
        <v>0</v>
      </c>
      <c r="AY66" s="57" t="s">
        <v>195</v>
      </c>
      <c r="AZ66" s="57" t="s">
        <v>266</v>
      </c>
      <c r="BA66" s="34" t="s">
        <v>231</v>
      </c>
      <c r="BC66" s="54">
        <f t="shared" si="87"/>
        <v>0</v>
      </c>
      <c r="BD66" s="54">
        <f t="shared" si="88"/>
        <v>0</v>
      </c>
      <c r="BE66" s="54">
        <v>0</v>
      </c>
      <c r="BF66" s="54">
        <f>66</f>
        <v>66</v>
      </c>
      <c r="BH66" s="54">
        <f t="shared" si="89"/>
        <v>0</v>
      </c>
      <c r="BI66" s="54">
        <f t="shared" si="90"/>
        <v>0</v>
      </c>
      <c r="BJ66" s="54">
        <f t="shared" si="91"/>
        <v>0</v>
      </c>
      <c r="BK66" s="57" t="s">
        <v>190</v>
      </c>
      <c r="BL66" s="54"/>
      <c r="BW66" s="54">
        <v>21</v>
      </c>
      <c r="BX66" s="3" t="s">
        <v>269</v>
      </c>
    </row>
    <row r="67" spans="1:76" x14ac:dyDescent="0.25">
      <c r="A67" s="1" t="s">
        <v>270</v>
      </c>
      <c r="B67" s="2" t="s">
        <v>271</v>
      </c>
      <c r="C67" s="83" t="s">
        <v>272</v>
      </c>
      <c r="D67" s="78"/>
      <c r="E67" s="2" t="s">
        <v>214</v>
      </c>
      <c r="F67" s="54">
        <v>3</v>
      </c>
      <c r="G67" s="55">
        <v>0</v>
      </c>
      <c r="H67" s="54">
        <f t="shared" si="68"/>
        <v>0</v>
      </c>
      <c r="I67" s="54">
        <f t="shared" si="69"/>
        <v>0</v>
      </c>
      <c r="J67" s="54">
        <f t="shared" si="70"/>
        <v>0</v>
      </c>
      <c r="K67" s="56" t="s">
        <v>120</v>
      </c>
      <c r="Z67" s="54">
        <f t="shared" si="71"/>
        <v>0</v>
      </c>
      <c r="AB67" s="54">
        <f t="shared" si="72"/>
        <v>0</v>
      </c>
      <c r="AC67" s="54">
        <f t="shared" si="73"/>
        <v>0</v>
      </c>
      <c r="AD67" s="54">
        <f t="shared" si="74"/>
        <v>0</v>
      </c>
      <c r="AE67" s="54">
        <f t="shared" si="75"/>
        <v>0</v>
      </c>
      <c r="AF67" s="54">
        <f t="shared" si="76"/>
        <v>0</v>
      </c>
      <c r="AG67" s="54">
        <f t="shared" si="77"/>
        <v>0</v>
      </c>
      <c r="AH67" s="54">
        <f t="shared" si="78"/>
        <v>0</v>
      </c>
      <c r="AI67" s="34" t="s">
        <v>224</v>
      </c>
      <c r="AJ67" s="54">
        <f t="shared" si="79"/>
        <v>0</v>
      </c>
      <c r="AK67" s="54">
        <f t="shared" si="80"/>
        <v>0</v>
      </c>
      <c r="AL67" s="54">
        <f t="shared" si="81"/>
        <v>0</v>
      </c>
      <c r="AN67" s="54">
        <v>21</v>
      </c>
      <c r="AO67" s="54">
        <f t="shared" si="82"/>
        <v>0</v>
      </c>
      <c r="AP67" s="54">
        <f t="shared" si="83"/>
        <v>0</v>
      </c>
      <c r="AQ67" s="57" t="s">
        <v>194</v>
      </c>
      <c r="AV67" s="54">
        <f t="shared" si="84"/>
        <v>0</v>
      </c>
      <c r="AW67" s="54">
        <f t="shared" si="85"/>
        <v>0</v>
      </c>
      <c r="AX67" s="54">
        <f t="shared" si="86"/>
        <v>0</v>
      </c>
      <c r="AY67" s="57" t="s">
        <v>195</v>
      </c>
      <c r="AZ67" s="57" t="s">
        <v>266</v>
      </c>
      <c r="BA67" s="34" t="s">
        <v>231</v>
      </c>
      <c r="BC67" s="54">
        <f t="shared" si="87"/>
        <v>0</v>
      </c>
      <c r="BD67" s="54">
        <f t="shared" si="88"/>
        <v>0</v>
      </c>
      <c r="BE67" s="54">
        <v>0</v>
      </c>
      <c r="BF67" s="54">
        <f>67</f>
        <v>67</v>
      </c>
      <c r="BH67" s="54">
        <f t="shared" si="89"/>
        <v>0</v>
      </c>
      <c r="BI67" s="54">
        <f t="shared" si="90"/>
        <v>0</v>
      </c>
      <c r="BJ67" s="54">
        <f t="shared" si="91"/>
        <v>0</v>
      </c>
      <c r="BK67" s="57" t="s">
        <v>190</v>
      </c>
      <c r="BL67" s="54"/>
      <c r="BW67" s="54">
        <v>21</v>
      </c>
      <c r="BX67" s="3" t="s">
        <v>272</v>
      </c>
    </row>
    <row r="68" spans="1:76" ht="25.5" x14ac:dyDescent="0.25">
      <c r="A68" s="1" t="s">
        <v>273</v>
      </c>
      <c r="B68" s="2" t="s">
        <v>274</v>
      </c>
      <c r="C68" s="83" t="s">
        <v>275</v>
      </c>
      <c r="D68" s="78"/>
      <c r="E68" s="2" t="s">
        <v>276</v>
      </c>
      <c r="F68" s="54">
        <v>1.5</v>
      </c>
      <c r="G68" s="55">
        <v>0</v>
      </c>
      <c r="H68" s="54">
        <f t="shared" si="68"/>
        <v>0</v>
      </c>
      <c r="I68" s="54">
        <f t="shared" si="69"/>
        <v>0</v>
      </c>
      <c r="J68" s="54">
        <f t="shared" si="70"/>
        <v>0</v>
      </c>
      <c r="K68" s="56" t="s">
        <v>120</v>
      </c>
      <c r="Z68" s="54">
        <f t="shared" si="71"/>
        <v>0</v>
      </c>
      <c r="AB68" s="54">
        <f t="shared" si="72"/>
        <v>0</v>
      </c>
      <c r="AC68" s="54">
        <f t="shared" si="73"/>
        <v>0</v>
      </c>
      <c r="AD68" s="54">
        <f t="shared" si="74"/>
        <v>0</v>
      </c>
      <c r="AE68" s="54">
        <f t="shared" si="75"/>
        <v>0</v>
      </c>
      <c r="AF68" s="54">
        <f t="shared" si="76"/>
        <v>0</v>
      </c>
      <c r="AG68" s="54">
        <f t="shared" si="77"/>
        <v>0</v>
      </c>
      <c r="AH68" s="54">
        <f t="shared" si="78"/>
        <v>0</v>
      </c>
      <c r="AI68" s="34" t="s">
        <v>224</v>
      </c>
      <c r="AJ68" s="54">
        <f t="shared" si="79"/>
        <v>0</v>
      </c>
      <c r="AK68" s="54">
        <f t="shared" si="80"/>
        <v>0</v>
      </c>
      <c r="AL68" s="54">
        <f t="shared" si="81"/>
        <v>0</v>
      </c>
      <c r="AN68" s="54">
        <v>21</v>
      </c>
      <c r="AO68" s="54">
        <f t="shared" si="82"/>
        <v>0</v>
      </c>
      <c r="AP68" s="54">
        <f t="shared" si="83"/>
        <v>0</v>
      </c>
      <c r="AQ68" s="57" t="s">
        <v>194</v>
      </c>
      <c r="AV68" s="54">
        <f t="shared" si="84"/>
        <v>0</v>
      </c>
      <c r="AW68" s="54">
        <f t="shared" si="85"/>
        <v>0</v>
      </c>
      <c r="AX68" s="54">
        <f t="shared" si="86"/>
        <v>0</v>
      </c>
      <c r="AY68" s="57" t="s">
        <v>195</v>
      </c>
      <c r="AZ68" s="57" t="s">
        <v>266</v>
      </c>
      <c r="BA68" s="34" t="s">
        <v>231</v>
      </c>
      <c r="BC68" s="54">
        <f t="shared" si="87"/>
        <v>0</v>
      </c>
      <c r="BD68" s="54">
        <f t="shared" si="88"/>
        <v>0</v>
      </c>
      <c r="BE68" s="54">
        <v>0</v>
      </c>
      <c r="BF68" s="54">
        <f>68</f>
        <v>68</v>
      </c>
      <c r="BH68" s="54">
        <f t="shared" si="89"/>
        <v>0</v>
      </c>
      <c r="BI68" s="54">
        <f t="shared" si="90"/>
        <v>0</v>
      </c>
      <c r="BJ68" s="54">
        <f t="shared" si="91"/>
        <v>0</v>
      </c>
      <c r="BK68" s="57" t="s">
        <v>190</v>
      </c>
      <c r="BL68" s="54"/>
      <c r="BW68" s="54">
        <v>21</v>
      </c>
      <c r="BX68" s="3" t="s">
        <v>275</v>
      </c>
    </row>
    <row r="69" spans="1:76" x14ac:dyDescent="0.25">
      <c r="A69" s="1" t="s">
        <v>277</v>
      </c>
      <c r="B69" s="2" t="s">
        <v>278</v>
      </c>
      <c r="C69" s="83" t="s">
        <v>279</v>
      </c>
      <c r="D69" s="78"/>
      <c r="E69" s="2" t="s">
        <v>177</v>
      </c>
      <c r="F69" s="54">
        <v>0.3</v>
      </c>
      <c r="G69" s="55">
        <v>0</v>
      </c>
      <c r="H69" s="54">
        <f t="shared" si="68"/>
        <v>0</v>
      </c>
      <c r="I69" s="54">
        <f t="shared" si="69"/>
        <v>0</v>
      </c>
      <c r="J69" s="54">
        <f t="shared" si="70"/>
        <v>0</v>
      </c>
      <c r="K69" s="56" t="s">
        <v>120</v>
      </c>
      <c r="Z69" s="54">
        <f t="shared" si="71"/>
        <v>0</v>
      </c>
      <c r="AB69" s="54">
        <f t="shared" si="72"/>
        <v>0</v>
      </c>
      <c r="AC69" s="54">
        <f t="shared" si="73"/>
        <v>0</v>
      </c>
      <c r="AD69" s="54">
        <f t="shared" si="74"/>
        <v>0</v>
      </c>
      <c r="AE69" s="54">
        <f t="shared" si="75"/>
        <v>0</v>
      </c>
      <c r="AF69" s="54">
        <f t="shared" si="76"/>
        <v>0</v>
      </c>
      <c r="AG69" s="54">
        <f t="shared" si="77"/>
        <v>0</v>
      </c>
      <c r="AH69" s="54">
        <f t="shared" si="78"/>
        <v>0</v>
      </c>
      <c r="AI69" s="34" t="s">
        <v>224</v>
      </c>
      <c r="AJ69" s="54">
        <f t="shared" si="79"/>
        <v>0</v>
      </c>
      <c r="AK69" s="54">
        <f t="shared" si="80"/>
        <v>0</v>
      </c>
      <c r="AL69" s="54">
        <f t="shared" si="81"/>
        <v>0</v>
      </c>
      <c r="AN69" s="54">
        <v>21</v>
      </c>
      <c r="AO69" s="54">
        <f t="shared" si="82"/>
        <v>0</v>
      </c>
      <c r="AP69" s="54">
        <f t="shared" si="83"/>
        <v>0</v>
      </c>
      <c r="AQ69" s="57" t="s">
        <v>194</v>
      </c>
      <c r="AV69" s="54">
        <f t="shared" si="84"/>
        <v>0</v>
      </c>
      <c r="AW69" s="54">
        <f t="shared" si="85"/>
        <v>0</v>
      </c>
      <c r="AX69" s="54">
        <f t="shared" si="86"/>
        <v>0</v>
      </c>
      <c r="AY69" s="57" t="s">
        <v>195</v>
      </c>
      <c r="AZ69" s="57" t="s">
        <v>266</v>
      </c>
      <c r="BA69" s="34" t="s">
        <v>231</v>
      </c>
      <c r="BC69" s="54">
        <f t="shared" si="87"/>
        <v>0</v>
      </c>
      <c r="BD69" s="54">
        <f t="shared" si="88"/>
        <v>0</v>
      </c>
      <c r="BE69" s="54">
        <v>0</v>
      </c>
      <c r="BF69" s="54">
        <f>69</f>
        <v>69</v>
      </c>
      <c r="BH69" s="54">
        <f t="shared" si="89"/>
        <v>0</v>
      </c>
      <c r="BI69" s="54">
        <f t="shared" si="90"/>
        <v>0</v>
      </c>
      <c r="BJ69" s="54">
        <f t="shared" si="91"/>
        <v>0</v>
      </c>
      <c r="BK69" s="57" t="s">
        <v>190</v>
      </c>
      <c r="BL69" s="54"/>
      <c r="BW69" s="54">
        <v>21</v>
      </c>
      <c r="BX69" s="3" t="s">
        <v>279</v>
      </c>
    </row>
    <row r="70" spans="1:76" x14ac:dyDescent="0.25">
      <c r="A70" s="1" t="s">
        <v>280</v>
      </c>
      <c r="B70" s="2" t="s">
        <v>281</v>
      </c>
      <c r="C70" s="83" t="s">
        <v>282</v>
      </c>
      <c r="D70" s="78"/>
      <c r="E70" s="2" t="s">
        <v>111</v>
      </c>
      <c r="F70" s="54">
        <v>3</v>
      </c>
      <c r="G70" s="55">
        <v>0</v>
      </c>
      <c r="H70" s="54">
        <f t="shared" si="68"/>
        <v>0</v>
      </c>
      <c r="I70" s="54">
        <f t="shared" si="69"/>
        <v>0</v>
      </c>
      <c r="J70" s="54">
        <f t="shared" si="70"/>
        <v>0</v>
      </c>
      <c r="K70" s="56" t="s">
        <v>4</v>
      </c>
      <c r="Z70" s="54">
        <f t="shared" si="71"/>
        <v>0</v>
      </c>
      <c r="AB70" s="54">
        <f t="shared" si="72"/>
        <v>0</v>
      </c>
      <c r="AC70" s="54">
        <f t="shared" si="73"/>
        <v>0</v>
      </c>
      <c r="AD70" s="54">
        <f t="shared" si="74"/>
        <v>0</v>
      </c>
      <c r="AE70" s="54">
        <f t="shared" si="75"/>
        <v>0</v>
      </c>
      <c r="AF70" s="54">
        <f t="shared" si="76"/>
        <v>0</v>
      </c>
      <c r="AG70" s="54">
        <f t="shared" si="77"/>
        <v>0</v>
      </c>
      <c r="AH70" s="54">
        <f t="shared" si="78"/>
        <v>0</v>
      </c>
      <c r="AI70" s="34" t="s">
        <v>224</v>
      </c>
      <c r="AJ70" s="54">
        <f t="shared" si="79"/>
        <v>0</v>
      </c>
      <c r="AK70" s="54">
        <f t="shared" si="80"/>
        <v>0</v>
      </c>
      <c r="AL70" s="54">
        <f t="shared" si="81"/>
        <v>0</v>
      </c>
      <c r="AN70" s="54">
        <v>21</v>
      </c>
      <c r="AO70" s="54">
        <f t="shared" si="82"/>
        <v>0</v>
      </c>
      <c r="AP70" s="54">
        <f t="shared" si="83"/>
        <v>0</v>
      </c>
      <c r="AQ70" s="57" t="s">
        <v>194</v>
      </c>
      <c r="AV70" s="54">
        <f t="shared" si="84"/>
        <v>0</v>
      </c>
      <c r="AW70" s="54">
        <f t="shared" si="85"/>
        <v>0</v>
      </c>
      <c r="AX70" s="54">
        <f t="shared" si="86"/>
        <v>0</v>
      </c>
      <c r="AY70" s="57" t="s">
        <v>195</v>
      </c>
      <c r="AZ70" s="57" t="s">
        <v>266</v>
      </c>
      <c r="BA70" s="34" t="s">
        <v>231</v>
      </c>
      <c r="BC70" s="54">
        <f t="shared" si="87"/>
        <v>0</v>
      </c>
      <c r="BD70" s="54">
        <f t="shared" si="88"/>
        <v>0</v>
      </c>
      <c r="BE70" s="54">
        <v>0</v>
      </c>
      <c r="BF70" s="54">
        <f>70</f>
        <v>70</v>
      </c>
      <c r="BH70" s="54">
        <f t="shared" si="89"/>
        <v>0</v>
      </c>
      <c r="BI70" s="54">
        <f t="shared" si="90"/>
        <v>0</v>
      </c>
      <c r="BJ70" s="54">
        <f t="shared" si="91"/>
        <v>0</v>
      </c>
      <c r="BK70" s="57" t="s">
        <v>190</v>
      </c>
      <c r="BL70" s="54"/>
      <c r="BW70" s="54">
        <v>21</v>
      </c>
      <c r="BX70" s="3" t="s">
        <v>282</v>
      </c>
    </row>
    <row r="71" spans="1:76" x14ac:dyDescent="0.25">
      <c r="A71" s="1" t="s">
        <v>283</v>
      </c>
      <c r="B71" s="2" t="s">
        <v>284</v>
      </c>
      <c r="C71" s="83" t="s">
        <v>285</v>
      </c>
      <c r="D71" s="78"/>
      <c r="E71" s="2" t="s">
        <v>111</v>
      </c>
      <c r="F71" s="54">
        <v>12</v>
      </c>
      <c r="G71" s="55">
        <v>0</v>
      </c>
      <c r="H71" s="54">
        <f t="shared" si="68"/>
        <v>0</v>
      </c>
      <c r="I71" s="54">
        <f t="shared" si="69"/>
        <v>0</v>
      </c>
      <c r="J71" s="54">
        <f t="shared" si="70"/>
        <v>0</v>
      </c>
      <c r="K71" s="56" t="s">
        <v>120</v>
      </c>
      <c r="Z71" s="54">
        <f t="shared" si="71"/>
        <v>0</v>
      </c>
      <c r="AB71" s="54">
        <f t="shared" si="72"/>
        <v>0</v>
      </c>
      <c r="AC71" s="54">
        <f t="shared" si="73"/>
        <v>0</v>
      </c>
      <c r="AD71" s="54">
        <f t="shared" si="74"/>
        <v>0</v>
      </c>
      <c r="AE71" s="54">
        <f t="shared" si="75"/>
        <v>0</v>
      </c>
      <c r="AF71" s="54">
        <f t="shared" si="76"/>
        <v>0</v>
      </c>
      <c r="AG71" s="54">
        <f t="shared" si="77"/>
        <v>0</v>
      </c>
      <c r="AH71" s="54">
        <f t="shared" si="78"/>
        <v>0</v>
      </c>
      <c r="AI71" s="34" t="s">
        <v>224</v>
      </c>
      <c r="AJ71" s="54">
        <f t="shared" si="79"/>
        <v>0</v>
      </c>
      <c r="AK71" s="54">
        <f t="shared" si="80"/>
        <v>0</v>
      </c>
      <c r="AL71" s="54">
        <f t="shared" si="81"/>
        <v>0</v>
      </c>
      <c r="AN71" s="54">
        <v>21</v>
      </c>
      <c r="AO71" s="54">
        <f t="shared" si="82"/>
        <v>0</v>
      </c>
      <c r="AP71" s="54">
        <f t="shared" si="83"/>
        <v>0</v>
      </c>
      <c r="AQ71" s="57" t="s">
        <v>194</v>
      </c>
      <c r="AV71" s="54">
        <f t="shared" si="84"/>
        <v>0</v>
      </c>
      <c r="AW71" s="54">
        <f t="shared" si="85"/>
        <v>0</v>
      </c>
      <c r="AX71" s="54">
        <f t="shared" si="86"/>
        <v>0</v>
      </c>
      <c r="AY71" s="57" t="s">
        <v>195</v>
      </c>
      <c r="AZ71" s="57" t="s">
        <v>266</v>
      </c>
      <c r="BA71" s="34" t="s">
        <v>231</v>
      </c>
      <c r="BC71" s="54">
        <f t="shared" si="87"/>
        <v>0</v>
      </c>
      <c r="BD71" s="54">
        <f t="shared" si="88"/>
        <v>0</v>
      </c>
      <c r="BE71" s="54">
        <v>0</v>
      </c>
      <c r="BF71" s="54">
        <f>71</f>
        <v>71</v>
      </c>
      <c r="BH71" s="54">
        <f t="shared" si="89"/>
        <v>0</v>
      </c>
      <c r="BI71" s="54">
        <f t="shared" si="90"/>
        <v>0</v>
      </c>
      <c r="BJ71" s="54">
        <f t="shared" si="91"/>
        <v>0</v>
      </c>
      <c r="BK71" s="57" t="s">
        <v>190</v>
      </c>
      <c r="BL71" s="54"/>
      <c r="BW71" s="54">
        <v>21</v>
      </c>
      <c r="BX71" s="3" t="s">
        <v>285</v>
      </c>
    </row>
    <row r="72" spans="1:76" x14ac:dyDescent="0.25">
      <c r="A72" s="1" t="s">
        <v>286</v>
      </c>
      <c r="B72" s="2" t="s">
        <v>287</v>
      </c>
      <c r="C72" s="83" t="s">
        <v>288</v>
      </c>
      <c r="D72" s="78"/>
      <c r="E72" s="2" t="s">
        <v>177</v>
      </c>
      <c r="F72" s="54">
        <v>3.9</v>
      </c>
      <c r="G72" s="55">
        <v>0</v>
      </c>
      <c r="H72" s="54">
        <f t="shared" si="68"/>
        <v>0</v>
      </c>
      <c r="I72" s="54">
        <f t="shared" si="69"/>
        <v>0</v>
      </c>
      <c r="J72" s="54">
        <f t="shared" si="70"/>
        <v>0</v>
      </c>
      <c r="K72" s="56" t="s">
        <v>4</v>
      </c>
      <c r="Z72" s="54">
        <f t="shared" si="71"/>
        <v>0</v>
      </c>
      <c r="AB72" s="54">
        <f t="shared" si="72"/>
        <v>0</v>
      </c>
      <c r="AC72" s="54">
        <f t="shared" si="73"/>
        <v>0</v>
      </c>
      <c r="AD72" s="54">
        <f t="shared" si="74"/>
        <v>0</v>
      </c>
      <c r="AE72" s="54">
        <f t="shared" si="75"/>
        <v>0</v>
      </c>
      <c r="AF72" s="54">
        <f t="shared" si="76"/>
        <v>0</v>
      </c>
      <c r="AG72" s="54">
        <f t="shared" si="77"/>
        <v>0</v>
      </c>
      <c r="AH72" s="54">
        <f t="shared" si="78"/>
        <v>0</v>
      </c>
      <c r="AI72" s="34" t="s">
        <v>224</v>
      </c>
      <c r="AJ72" s="54">
        <f t="shared" si="79"/>
        <v>0</v>
      </c>
      <c r="AK72" s="54">
        <f t="shared" si="80"/>
        <v>0</v>
      </c>
      <c r="AL72" s="54">
        <f t="shared" si="81"/>
        <v>0</v>
      </c>
      <c r="AN72" s="54">
        <v>21</v>
      </c>
      <c r="AO72" s="54">
        <f t="shared" si="82"/>
        <v>0</v>
      </c>
      <c r="AP72" s="54">
        <f t="shared" si="83"/>
        <v>0</v>
      </c>
      <c r="AQ72" s="57" t="s">
        <v>194</v>
      </c>
      <c r="AV72" s="54">
        <f t="shared" si="84"/>
        <v>0</v>
      </c>
      <c r="AW72" s="54">
        <f t="shared" si="85"/>
        <v>0</v>
      </c>
      <c r="AX72" s="54">
        <f t="shared" si="86"/>
        <v>0</v>
      </c>
      <c r="AY72" s="57" t="s">
        <v>195</v>
      </c>
      <c r="AZ72" s="57" t="s">
        <v>266</v>
      </c>
      <c r="BA72" s="34" t="s">
        <v>231</v>
      </c>
      <c r="BC72" s="54">
        <f t="shared" si="87"/>
        <v>0</v>
      </c>
      <c r="BD72" s="54">
        <f t="shared" si="88"/>
        <v>0</v>
      </c>
      <c r="BE72" s="54">
        <v>0</v>
      </c>
      <c r="BF72" s="54">
        <f>72</f>
        <v>72</v>
      </c>
      <c r="BH72" s="54">
        <f t="shared" si="89"/>
        <v>0</v>
      </c>
      <c r="BI72" s="54">
        <f t="shared" si="90"/>
        <v>0</v>
      </c>
      <c r="BJ72" s="54">
        <f t="shared" si="91"/>
        <v>0</v>
      </c>
      <c r="BK72" s="57" t="s">
        <v>190</v>
      </c>
      <c r="BL72" s="54"/>
      <c r="BW72" s="54">
        <v>21</v>
      </c>
      <c r="BX72" s="3" t="s">
        <v>288</v>
      </c>
    </row>
    <row r="73" spans="1:76" ht="202.5" customHeight="1" x14ac:dyDescent="0.25">
      <c r="A73" s="58"/>
      <c r="B73" s="59" t="s">
        <v>53</v>
      </c>
      <c r="C73" s="163" t="s">
        <v>289</v>
      </c>
      <c r="D73" s="164"/>
      <c r="E73" s="164"/>
      <c r="F73" s="164"/>
      <c r="G73" s="165"/>
      <c r="H73" s="164"/>
      <c r="I73" s="164"/>
      <c r="J73" s="164"/>
      <c r="K73" s="166"/>
    </row>
    <row r="74" spans="1:76" x14ac:dyDescent="0.25">
      <c r="A74" s="60" t="s">
        <v>4</v>
      </c>
      <c r="B74" s="61" t="s">
        <v>4</v>
      </c>
      <c r="C74" s="167" t="s">
        <v>290</v>
      </c>
      <c r="D74" s="168"/>
      <c r="E74" s="62" t="s">
        <v>69</v>
      </c>
      <c r="F74" s="62" t="s">
        <v>69</v>
      </c>
      <c r="G74" s="52" t="s">
        <v>69</v>
      </c>
      <c r="H74" s="63">
        <f>H75+H77+H87+H89</f>
        <v>0</v>
      </c>
      <c r="I74" s="63">
        <f>I75+I77+I87+I89</f>
        <v>0</v>
      </c>
      <c r="J74" s="63">
        <f>J75+J77+J87+J89</f>
        <v>0</v>
      </c>
      <c r="K74" s="64" t="s">
        <v>4</v>
      </c>
    </row>
    <row r="75" spans="1:76" x14ac:dyDescent="0.25">
      <c r="A75" s="49" t="s">
        <v>4</v>
      </c>
      <c r="B75" s="50" t="s">
        <v>222</v>
      </c>
      <c r="C75" s="161" t="s">
        <v>223</v>
      </c>
      <c r="D75" s="162"/>
      <c r="E75" s="51" t="s">
        <v>69</v>
      </c>
      <c r="F75" s="51" t="s">
        <v>69</v>
      </c>
      <c r="G75" s="52" t="s">
        <v>69</v>
      </c>
      <c r="H75" s="28">
        <f>SUM(H76:H76)</f>
        <v>0</v>
      </c>
      <c r="I75" s="28">
        <f>SUM(I76:I76)</f>
        <v>0</v>
      </c>
      <c r="J75" s="28">
        <f>SUM(J76:J76)</f>
        <v>0</v>
      </c>
      <c r="K75" s="53" t="s">
        <v>4</v>
      </c>
      <c r="AI75" s="34" t="s">
        <v>291</v>
      </c>
      <c r="AS75" s="28">
        <f>SUM(AJ76:AJ76)</f>
        <v>0</v>
      </c>
      <c r="AT75" s="28">
        <f>SUM(AK76:AK76)</f>
        <v>0</v>
      </c>
      <c r="AU75" s="28">
        <f>SUM(AL76:AL76)</f>
        <v>0</v>
      </c>
    </row>
    <row r="76" spans="1:76" x14ac:dyDescent="0.25">
      <c r="A76" s="1" t="s">
        <v>292</v>
      </c>
      <c r="B76" s="2" t="s">
        <v>226</v>
      </c>
      <c r="C76" s="83" t="s">
        <v>227</v>
      </c>
      <c r="D76" s="78"/>
      <c r="E76" s="2" t="s">
        <v>228</v>
      </c>
      <c r="F76" s="54">
        <v>7</v>
      </c>
      <c r="G76" s="55">
        <v>0</v>
      </c>
      <c r="H76" s="54">
        <f>ROUND(F76*AO76,2)</f>
        <v>0</v>
      </c>
      <c r="I76" s="54">
        <f>ROUND(F76*AP76,2)</f>
        <v>0</v>
      </c>
      <c r="J76" s="54">
        <f>ROUND(F76*G76,2)</f>
        <v>0</v>
      </c>
      <c r="K76" s="56" t="s">
        <v>4</v>
      </c>
      <c r="Z76" s="54">
        <f>ROUND(IF(AQ76="5",BJ76,0),2)</f>
        <v>0</v>
      </c>
      <c r="AB76" s="54">
        <f>ROUND(IF(AQ76="1",BH76,0),2)</f>
        <v>0</v>
      </c>
      <c r="AC76" s="54">
        <f>ROUND(IF(AQ76="1",BI76,0),2)</f>
        <v>0</v>
      </c>
      <c r="AD76" s="54">
        <f>ROUND(IF(AQ76="7",BH76,0),2)</f>
        <v>0</v>
      </c>
      <c r="AE76" s="54">
        <f>ROUND(IF(AQ76="7",BI76,0),2)</f>
        <v>0</v>
      </c>
      <c r="AF76" s="54">
        <f>ROUND(IF(AQ76="2",BH76,0),2)</f>
        <v>0</v>
      </c>
      <c r="AG76" s="54">
        <f>ROUND(IF(AQ76="2",BI76,0),2)</f>
        <v>0</v>
      </c>
      <c r="AH76" s="54">
        <f>ROUND(IF(AQ76="0",BJ76,0),2)</f>
        <v>0</v>
      </c>
      <c r="AI76" s="34" t="s">
        <v>291</v>
      </c>
      <c r="AJ76" s="54">
        <f>IF(AN76=0,J76,0)</f>
        <v>0</v>
      </c>
      <c r="AK76" s="54">
        <f>IF(AN76=0,J76,0)</f>
        <v>0</v>
      </c>
      <c r="AL76" s="54">
        <f>IF(AN76=21,J76,0)</f>
        <v>0</v>
      </c>
      <c r="AN76" s="54">
        <v>21</v>
      </c>
      <c r="AO76" s="54">
        <f>G76*0</f>
        <v>0</v>
      </c>
      <c r="AP76" s="54">
        <f>G76*(1-0)</f>
        <v>0</v>
      </c>
      <c r="AQ76" s="57" t="s">
        <v>108</v>
      </c>
      <c r="AV76" s="54">
        <f>ROUND(AW76+AX76,2)</f>
        <v>0</v>
      </c>
      <c r="AW76" s="54">
        <f>ROUND(F76*AO76,2)</f>
        <v>0</v>
      </c>
      <c r="AX76" s="54">
        <f>ROUND(F76*AP76,2)</f>
        <v>0</v>
      </c>
      <c r="AY76" s="57" t="s">
        <v>229</v>
      </c>
      <c r="AZ76" s="57" t="s">
        <v>293</v>
      </c>
      <c r="BA76" s="34" t="s">
        <v>294</v>
      </c>
      <c r="BC76" s="54">
        <f>AW76+AX76</f>
        <v>0</v>
      </c>
      <c r="BD76" s="54">
        <f>G76/(100-BE76)*100</f>
        <v>0</v>
      </c>
      <c r="BE76" s="54">
        <v>0</v>
      </c>
      <c r="BF76" s="54">
        <f>76</f>
        <v>76</v>
      </c>
      <c r="BH76" s="54">
        <f>F76*AO76</f>
        <v>0</v>
      </c>
      <c r="BI76" s="54">
        <f>F76*AP76</f>
        <v>0</v>
      </c>
      <c r="BJ76" s="54">
        <f>F76*G76</f>
        <v>0</v>
      </c>
      <c r="BK76" s="57" t="s">
        <v>115</v>
      </c>
      <c r="BL76" s="54">
        <v>111</v>
      </c>
      <c r="BW76" s="54">
        <v>21</v>
      </c>
      <c r="BX76" s="3" t="s">
        <v>227</v>
      </c>
    </row>
    <row r="77" spans="1:76" x14ac:dyDescent="0.25">
      <c r="A77" s="49" t="s">
        <v>4</v>
      </c>
      <c r="B77" s="50" t="s">
        <v>182</v>
      </c>
      <c r="C77" s="161" t="s">
        <v>232</v>
      </c>
      <c r="D77" s="162"/>
      <c r="E77" s="51" t="s">
        <v>69</v>
      </c>
      <c r="F77" s="51" t="s">
        <v>69</v>
      </c>
      <c r="G77" s="52" t="s">
        <v>69</v>
      </c>
      <c r="H77" s="28">
        <f>SUM(H78:H86)</f>
        <v>0</v>
      </c>
      <c r="I77" s="28">
        <f>SUM(I78:I86)</f>
        <v>0</v>
      </c>
      <c r="J77" s="28">
        <f>SUM(J78:J86)</f>
        <v>0</v>
      </c>
      <c r="K77" s="53" t="s">
        <v>4</v>
      </c>
      <c r="AI77" s="34" t="s">
        <v>291</v>
      </c>
      <c r="AS77" s="28">
        <f>SUM(AJ78:AJ86)</f>
        <v>0</v>
      </c>
      <c r="AT77" s="28">
        <f>SUM(AK78:AK86)</f>
        <v>0</v>
      </c>
      <c r="AU77" s="28">
        <f>SUM(AL78:AL86)</f>
        <v>0</v>
      </c>
    </row>
    <row r="78" spans="1:76" x14ac:dyDescent="0.25">
      <c r="A78" s="1" t="s">
        <v>295</v>
      </c>
      <c r="B78" s="2" t="s">
        <v>296</v>
      </c>
      <c r="C78" s="83" t="s">
        <v>297</v>
      </c>
      <c r="D78" s="78"/>
      <c r="E78" s="2" t="s">
        <v>111</v>
      </c>
      <c r="F78" s="54">
        <v>7</v>
      </c>
      <c r="G78" s="55">
        <v>0</v>
      </c>
      <c r="H78" s="54">
        <f t="shared" ref="H78:H86" si="92">ROUND(F78*AO78,2)</f>
        <v>0</v>
      </c>
      <c r="I78" s="54">
        <f t="shared" ref="I78:I86" si="93">ROUND(F78*AP78,2)</f>
        <v>0</v>
      </c>
      <c r="J78" s="54">
        <f t="shared" ref="J78:J86" si="94">ROUND(F78*G78,2)</f>
        <v>0</v>
      </c>
      <c r="K78" s="56" t="s">
        <v>120</v>
      </c>
      <c r="Z78" s="54">
        <f t="shared" ref="Z78:Z86" si="95">ROUND(IF(AQ78="5",BJ78,0),2)</f>
        <v>0</v>
      </c>
      <c r="AB78" s="54">
        <f t="shared" ref="AB78:AB86" si="96">ROUND(IF(AQ78="1",BH78,0),2)</f>
        <v>0</v>
      </c>
      <c r="AC78" s="54">
        <f t="shared" ref="AC78:AC86" si="97">ROUND(IF(AQ78="1",BI78,0),2)</f>
        <v>0</v>
      </c>
      <c r="AD78" s="54">
        <f t="shared" ref="AD78:AD86" si="98">ROUND(IF(AQ78="7",BH78,0),2)</f>
        <v>0</v>
      </c>
      <c r="AE78" s="54">
        <f t="shared" ref="AE78:AE86" si="99">ROUND(IF(AQ78="7",BI78,0),2)</f>
        <v>0</v>
      </c>
      <c r="AF78" s="54">
        <f t="shared" ref="AF78:AF86" si="100">ROUND(IF(AQ78="2",BH78,0),2)</f>
        <v>0</v>
      </c>
      <c r="AG78" s="54">
        <f t="shared" ref="AG78:AG86" si="101">ROUND(IF(AQ78="2",BI78,0),2)</f>
        <v>0</v>
      </c>
      <c r="AH78" s="54">
        <f t="shared" ref="AH78:AH86" si="102">ROUND(IF(AQ78="0",BJ78,0),2)</f>
        <v>0</v>
      </c>
      <c r="AI78" s="34" t="s">
        <v>291</v>
      </c>
      <c r="AJ78" s="54">
        <f t="shared" ref="AJ78:AJ86" si="103">IF(AN78=0,J78,0)</f>
        <v>0</v>
      </c>
      <c r="AK78" s="54">
        <f t="shared" ref="AK78:AK86" si="104">IF(AN78=0,J78,0)</f>
        <v>0</v>
      </c>
      <c r="AL78" s="54">
        <f t="shared" ref="AL78:AL86" si="105">IF(AN78=21,J78,0)</f>
        <v>0</v>
      </c>
      <c r="AN78" s="54">
        <v>21</v>
      </c>
      <c r="AO78" s="54">
        <f>G78*0</f>
        <v>0</v>
      </c>
      <c r="AP78" s="54">
        <f>G78*(1-0)</f>
        <v>0</v>
      </c>
      <c r="AQ78" s="57" t="s">
        <v>108</v>
      </c>
      <c r="AV78" s="54">
        <f t="shared" ref="AV78:AV86" si="106">ROUND(AW78+AX78,2)</f>
        <v>0</v>
      </c>
      <c r="AW78" s="54">
        <f t="shared" ref="AW78:AW86" si="107">ROUND(F78*AO78,2)</f>
        <v>0</v>
      </c>
      <c r="AX78" s="54">
        <f t="shared" ref="AX78:AX86" si="108">ROUND(F78*AP78,2)</f>
        <v>0</v>
      </c>
      <c r="AY78" s="57" t="s">
        <v>236</v>
      </c>
      <c r="AZ78" s="57" t="s">
        <v>293</v>
      </c>
      <c r="BA78" s="34" t="s">
        <v>294</v>
      </c>
      <c r="BC78" s="54">
        <f t="shared" ref="BC78:BC86" si="109">AW78+AX78</f>
        <v>0</v>
      </c>
      <c r="BD78" s="54">
        <f t="shared" ref="BD78:BD86" si="110">G78/(100-BE78)*100</f>
        <v>0</v>
      </c>
      <c r="BE78" s="54">
        <v>0</v>
      </c>
      <c r="BF78" s="54">
        <f>78</f>
        <v>78</v>
      </c>
      <c r="BH78" s="54">
        <f t="shared" ref="BH78:BH86" si="111">F78*AO78</f>
        <v>0</v>
      </c>
      <c r="BI78" s="54">
        <f t="shared" ref="BI78:BI86" si="112">F78*AP78</f>
        <v>0</v>
      </c>
      <c r="BJ78" s="54">
        <f t="shared" ref="BJ78:BJ86" si="113">F78*G78</f>
        <v>0</v>
      </c>
      <c r="BK78" s="57" t="s">
        <v>115</v>
      </c>
      <c r="BL78" s="54">
        <v>18</v>
      </c>
      <c r="BW78" s="54">
        <v>21</v>
      </c>
      <c r="BX78" s="3" t="s">
        <v>297</v>
      </c>
    </row>
    <row r="79" spans="1:76" x14ac:dyDescent="0.25">
      <c r="A79" s="1" t="s">
        <v>298</v>
      </c>
      <c r="B79" s="2" t="s">
        <v>238</v>
      </c>
      <c r="C79" s="83" t="s">
        <v>299</v>
      </c>
      <c r="D79" s="78"/>
      <c r="E79" s="2" t="s">
        <v>177</v>
      </c>
      <c r="F79" s="54">
        <v>1.18</v>
      </c>
      <c r="G79" s="55">
        <v>0</v>
      </c>
      <c r="H79" s="54">
        <f t="shared" si="92"/>
        <v>0</v>
      </c>
      <c r="I79" s="54">
        <f t="shared" si="93"/>
        <v>0</v>
      </c>
      <c r="J79" s="54">
        <f t="shared" si="94"/>
        <v>0</v>
      </c>
      <c r="K79" s="56" t="s">
        <v>4</v>
      </c>
      <c r="Z79" s="54">
        <f t="shared" si="95"/>
        <v>0</v>
      </c>
      <c r="AB79" s="54">
        <f t="shared" si="96"/>
        <v>0</v>
      </c>
      <c r="AC79" s="54">
        <f t="shared" si="97"/>
        <v>0</v>
      </c>
      <c r="AD79" s="54">
        <f t="shared" si="98"/>
        <v>0</v>
      </c>
      <c r="AE79" s="54">
        <f t="shared" si="99"/>
        <v>0</v>
      </c>
      <c r="AF79" s="54">
        <f t="shared" si="100"/>
        <v>0</v>
      </c>
      <c r="AG79" s="54">
        <f t="shared" si="101"/>
        <v>0</v>
      </c>
      <c r="AH79" s="54">
        <f t="shared" si="102"/>
        <v>0</v>
      </c>
      <c r="AI79" s="34" t="s">
        <v>291</v>
      </c>
      <c r="AJ79" s="54">
        <f t="shared" si="103"/>
        <v>0</v>
      </c>
      <c r="AK79" s="54">
        <f t="shared" si="104"/>
        <v>0</v>
      </c>
      <c r="AL79" s="54">
        <f t="shared" si="105"/>
        <v>0</v>
      </c>
      <c r="AN79" s="54">
        <v>21</v>
      </c>
      <c r="AO79" s="54">
        <f>G79*0</f>
        <v>0</v>
      </c>
      <c r="AP79" s="54">
        <f>G79*(1-0)</f>
        <v>0</v>
      </c>
      <c r="AQ79" s="57" t="s">
        <v>108</v>
      </c>
      <c r="AV79" s="54">
        <f t="shared" si="106"/>
        <v>0</v>
      </c>
      <c r="AW79" s="54">
        <f t="shared" si="107"/>
        <v>0</v>
      </c>
      <c r="AX79" s="54">
        <f t="shared" si="108"/>
        <v>0</v>
      </c>
      <c r="AY79" s="57" t="s">
        <v>236</v>
      </c>
      <c r="AZ79" s="57" t="s">
        <v>293</v>
      </c>
      <c r="BA79" s="34" t="s">
        <v>294</v>
      </c>
      <c r="BC79" s="54">
        <f t="shared" si="109"/>
        <v>0</v>
      </c>
      <c r="BD79" s="54">
        <f t="shared" si="110"/>
        <v>0</v>
      </c>
      <c r="BE79" s="54">
        <v>0</v>
      </c>
      <c r="BF79" s="54">
        <f>79</f>
        <v>79</v>
      </c>
      <c r="BH79" s="54">
        <f t="shared" si="111"/>
        <v>0</v>
      </c>
      <c r="BI79" s="54">
        <f t="shared" si="112"/>
        <v>0</v>
      </c>
      <c r="BJ79" s="54">
        <f t="shared" si="113"/>
        <v>0</v>
      </c>
      <c r="BK79" s="57" t="s">
        <v>115</v>
      </c>
      <c r="BL79" s="54">
        <v>18</v>
      </c>
      <c r="BW79" s="54">
        <v>21</v>
      </c>
      <c r="BX79" s="3" t="s">
        <v>299</v>
      </c>
    </row>
    <row r="80" spans="1:76" x14ac:dyDescent="0.25">
      <c r="A80" s="1" t="s">
        <v>300</v>
      </c>
      <c r="B80" s="2" t="s">
        <v>241</v>
      </c>
      <c r="C80" s="83" t="s">
        <v>242</v>
      </c>
      <c r="D80" s="78"/>
      <c r="E80" s="2" t="s">
        <v>177</v>
      </c>
      <c r="F80" s="54">
        <v>1.18</v>
      </c>
      <c r="G80" s="55">
        <v>0</v>
      </c>
      <c r="H80" s="54">
        <f t="shared" si="92"/>
        <v>0</v>
      </c>
      <c r="I80" s="54">
        <f t="shared" si="93"/>
        <v>0</v>
      </c>
      <c r="J80" s="54">
        <f t="shared" si="94"/>
        <v>0</v>
      </c>
      <c r="K80" s="56" t="s">
        <v>120</v>
      </c>
      <c r="Z80" s="54">
        <f t="shared" si="95"/>
        <v>0</v>
      </c>
      <c r="AB80" s="54">
        <f t="shared" si="96"/>
        <v>0</v>
      </c>
      <c r="AC80" s="54">
        <f t="shared" si="97"/>
        <v>0</v>
      </c>
      <c r="AD80" s="54">
        <f t="shared" si="98"/>
        <v>0</v>
      </c>
      <c r="AE80" s="54">
        <f t="shared" si="99"/>
        <v>0</v>
      </c>
      <c r="AF80" s="54">
        <f t="shared" si="100"/>
        <v>0</v>
      </c>
      <c r="AG80" s="54">
        <f t="shared" si="101"/>
        <v>0</v>
      </c>
      <c r="AH80" s="54">
        <f t="shared" si="102"/>
        <v>0</v>
      </c>
      <c r="AI80" s="34" t="s">
        <v>291</v>
      </c>
      <c r="AJ80" s="54">
        <f t="shared" si="103"/>
        <v>0</v>
      </c>
      <c r="AK80" s="54">
        <f t="shared" si="104"/>
        <v>0</v>
      </c>
      <c r="AL80" s="54">
        <f t="shared" si="105"/>
        <v>0</v>
      </c>
      <c r="AN80" s="54">
        <v>21</v>
      </c>
      <c r="AO80" s="54">
        <f>G80*0</f>
        <v>0</v>
      </c>
      <c r="AP80" s="54">
        <f>G80*(1-0)</f>
        <v>0</v>
      </c>
      <c r="AQ80" s="57" t="s">
        <v>108</v>
      </c>
      <c r="AV80" s="54">
        <f t="shared" si="106"/>
        <v>0</v>
      </c>
      <c r="AW80" s="54">
        <f t="shared" si="107"/>
        <v>0</v>
      </c>
      <c r="AX80" s="54">
        <f t="shared" si="108"/>
        <v>0</v>
      </c>
      <c r="AY80" s="57" t="s">
        <v>236</v>
      </c>
      <c r="AZ80" s="57" t="s">
        <v>293</v>
      </c>
      <c r="BA80" s="34" t="s">
        <v>294</v>
      </c>
      <c r="BC80" s="54">
        <f t="shared" si="109"/>
        <v>0</v>
      </c>
      <c r="BD80" s="54">
        <f t="shared" si="110"/>
        <v>0</v>
      </c>
      <c r="BE80" s="54">
        <v>0</v>
      </c>
      <c r="BF80" s="54">
        <f>80</f>
        <v>80</v>
      </c>
      <c r="BH80" s="54">
        <f t="shared" si="111"/>
        <v>0</v>
      </c>
      <c r="BI80" s="54">
        <f t="shared" si="112"/>
        <v>0</v>
      </c>
      <c r="BJ80" s="54">
        <f t="shared" si="113"/>
        <v>0</v>
      </c>
      <c r="BK80" s="57" t="s">
        <v>115</v>
      </c>
      <c r="BL80" s="54">
        <v>18</v>
      </c>
      <c r="BW80" s="54">
        <v>21</v>
      </c>
      <c r="BX80" s="3" t="s">
        <v>242</v>
      </c>
    </row>
    <row r="81" spans="1:76" x14ac:dyDescent="0.25">
      <c r="A81" s="1" t="s">
        <v>301</v>
      </c>
      <c r="B81" s="2" t="s">
        <v>244</v>
      </c>
      <c r="C81" s="83" t="s">
        <v>245</v>
      </c>
      <c r="D81" s="78"/>
      <c r="E81" s="2" t="s">
        <v>111</v>
      </c>
      <c r="F81" s="54">
        <v>7</v>
      </c>
      <c r="G81" s="55">
        <v>0</v>
      </c>
      <c r="H81" s="54">
        <f t="shared" si="92"/>
        <v>0</v>
      </c>
      <c r="I81" s="54">
        <f t="shared" si="93"/>
        <v>0</v>
      </c>
      <c r="J81" s="54">
        <f t="shared" si="94"/>
        <v>0</v>
      </c>
      <c r="K81" s="56" t="s">
        <v>120</v>
      </c>
      <c r="Z81" s="54">
        <f t="shared" si="95"/>
        <v>0</v>
      </c>
      <c r="AB81" s="54">
        <f t="shared" si="96"/>
        <v>0</v>
      </c>
      <c r="AC81" s="54">
        <f t="shared" si="97"/>
        <v>0</v>
      </c>
      <c r="AD81" s="54">
        <f t="shared" si="98"/>
        <v>0</v>
      </c>
      <c r="AE81" s="54">
        <f t="shared" si="99"/>
        <v>0</v>
      </c>
      <c r="AF81" s="54">
        <f t="shared" si="100"/>
        <v>0</v>
      </c>
      <c r="AG81" s="54">
        <f t="shared" si="101"/>
        <v>0</v>
      </c>
      <c r="AH81" s="54">
        <f t="shared" si="102"/>
        <v>0</v>
      </c>
      <c r="AI81" s="34" t="s">
        <v>291</v>
      </c>
      <c r="AJ81" s="54">
        <f t="shared" si="103"/>
        <v>0</v>
      </c>
      <c r="AK81" s="54">
        <f t="shared" si="104"/>
        <v>0</v>
      </c>
      <c r="AL81" s="54">
        <f t="shared" si="105"/>
        <v>0</v>
      </c>
      <c r="AN81" s="54">
        <v>21</v>
      </c>
      <c r="AO81" s="54">
        <f>G81*0.005703212</f>
        <v>0</v>
      </c>
      <c r="AP81" s="54">
        <f>G81*(1-0.005703212)</f>
        <v>0</v>
      </c>
      <c r="AQ81" s="57" t="s">
        <v>108</v>
      </c>
      <c r="AV81" s="54">
        <f t="shared" si="106"/>
        <v>0</v>
      </c>
      <c r="AW81" s="54">
        <f t="shared" si="107"/>
        <v>0</v>
      </c>
      <c r="AX81" s="54">
        <f t="shared" si="108"/>
        <v>0</v>
      </c>
      <c r="AY81" s="57" t="s">
        <v>236</v>
      </c>
      <c r="AZ81" s="57" t="s">
        <v>293</v>
      </c>
      <c r="BA81" s="34" t="s">
        <v>294</v>
      </c>
      <c r="BC81" s="54">
        <f t="shared" si="109"/>
        <v>0</v>
      </c>
      <c r="BD81" s="54">
        <f t="shared" si="110"/>
        <v>0</v>
      </c>
      <c r="BE81" s="54">
        <v>0</v>
      </c>
      <c r="BF81" s="54">
        <f>81</f>
        <v>81</v>
      </c>
      <c r="BH81" s="54">
        <f t="shared" si="111"/>
        <v>0</v>
      </c>
      <c r="BI81" s="54">
        <f t="shared" si="112"/>
        <v>0</v>
      </c>
      <c r="BJ81" s="54">
        <f t="shared" si="113"/>
        <v>0</v>
      </c>
      <c r="BK81" s="57" t="s">
        <v>115</v>
      </c>
      <c r="BL81" s="54">
        <v>18</v>
      </c>
      <c r="BW81" s="54">
        <v>21</v>
      </c>
      <c r="BX81" s="3" t="s">
        <v>245</v>
      </c>
    </row>
    <row r="82" spans="1:76" x14ac:dyDescent="0.25">
      <c r="A82" s="1" t="s">
        <v>302</v>
      </c>
      <c r="B82" s="2" t="s">
        <v>253</v>
      </c>
      <c r="C82" s="83" t="s">
        <v>254</v>
      </c>
      <c r="D82" s="78"/>
      <c r="E82" s="2" t="s">
        <v>111</v>
      </c>
      <c r="F82" s="54">
        <v>7</v>
      </c>
      <c r="G82" s="55">
        <v>0</v>
      </c>
      <c r="H82" s="54">
        <f t="shared" si="92"/>
        <v>0</v>
      </c>
      <c r="I82" s="54">
        <f t="shared" si="93"/>
        <v>0</v>
      </c>
      <c r="J82" s="54">
        <f t="shared" si="94"/>
        <v>0</v>
      </c>
      <c r="K82" s="56" t="s">
        <v>120</v>
      </c>
      <c r="Z82" s="54">
        <f t="shared" si="95"/>
        <v>0</v>
      </c>
      <c r="AB82" s="54">
        <f t="shared" si="96"/>
        <v>0</v>
      </c>
      <c r="AC82" s="54">
        <f t="shared" si="97"/>
        <v>0</v>
      </c>
      <c r="AD82" s="54">
        <f t="shared" si="98"/>
        <v>0</v>
      </c>
      <c r="AE82" s="54">
        <f t="shared" si="99"/>
        <v>0</v>
      </c>
      <c r="AF82" s="54">
        <f t="shared" si="100"/>
        <v>0</v>
      </c>
      <c r="AG82" s="54">
        <f t="shared" si="101"/>
        <v>0</v>
      </c>
      <c r="AH82" s="54">
        <f t="shared" si="102"/>
        <v>0</v>
      </c>
      <c r="AI82" s="34" t="s">
        <v>291</v>
      </c>
      <c r="AJ82" s="54">
        <f t="shared" si="103"/>
        <v>0</v>
      </c>
      <c r="AK82" s="54">
        <f t="shared" si="104"/>
        <v>0</v>
      </c>
      <c r="AL82" s="54">
        <f t="shared" si="105"/>
        <v>0</v>
      </c>
      <c r="AN82" s="54">
        <v>21</v>
      </c>
      <c r="AO82" s="54">
        <f>G82*0</f>
        <v>0</v>
      </c>
      <c r="AP82" s="54">
        <f>G82*(1-0)</f>
        <v>0</v>
      </c>
      <c r="AQ82" s="57" t="s">
        <v>108</v>
      </c>
      <c r="AV82" s="54">
        <f t="shared" si="106"/>
        <v>0</v>
      </c>
      <c r="AW82" s="54">
        <f t="shared" si="107"/>
        <v>0</v>
      </c>
      <c r="AX82" s="54">
        <f t="shared" si="108"/>
        <v>0</v>
      </c>
      <c r="AY82" s="57" t="s">
        <v>236</v>
      </c>
      <c r="AZ82" s="57" t="s">
        <v>293</v>
      </c>
      <c r="BA82" s="34" t="s">
        <v>294</v>
      </c>
      <c r="BC82" s="54">
        <f t="shared" si="109"/>
        <v>0</v>
      </c>
      <c r="BD82" s="54">
        <f t="shared" si="110"/>
        <v>0</v>
      </c>
      <c r="BE82" s="54">
        <v>0</v>
      </c>
      <c r="BF82" s="54">
        <f>82</f>
        <v>82</v>
      </c>
      <c r="BH82" s="54">
        <f t="shared" si="111"/>
        <v>0</v>
      </c>
      <c r="BI82" s="54">
        <f t="shared" si="112"/>
        <v>0</v>
      </c>
      <c r="BJ82" s="54">
        <f t="shared" si="113"/>
        <v>0</v>
      </c>
      <c r="BK82" s="57" t="s">
        <v>115</v>
      </c>
      <c r="BL82" s="54">
        <v>18</v>
      </c>
      <c r="BW82" s="54">
        <v>21</v>
      </c>
      <c r="BX82" s="3" t="s">
        <v>254</v>
      </c>
    </row>
    <row r="83" spans="1:76" x14ac:dyDescent="0.25">
      <c r="A83" s="1" t="s">
        <v>303</v>
      </c>
      <c r="B83" s="2" t="s">
        <v>247</v>
      </c>
      <c r="C83" s="83" t="s">
        <v>248</v>
      </c>
      <c r="D83" s="78"/>
      <c r="E83" s="2" t="s">
        <v>214</v>
      </c>
      <c r="F83" s="54">
        <v>7</v>
      </c>
      <c r="G83" s="55">
        <v>0</v>
      </c>
      <c r="H83" s="54">
        <f t="shared" si="92"/>
        <v>0</v>
      </c>
      <c r="I83" s="54">
        <f t="shared" si="93"/>
        <v>0</v>
      </c>
      <c r="J83" s="54">
        <f t="shared" si="94"/>
        <v>0</v>
      </c>
      <c r="K83" s="56" t="s">
        <v>120</v>
      </c>
      <c r="Z83" s="54">
        <f t="shared" si="95"/>
        <v>0</v>
      </c>
      <c r="AB83" s="54">
        <f t="shared" si="96"/>
        <v>0</v>
      </c>
      <c r="AC83" s="54">
        <f t="shared" si="97"/>
        <v>0</v>
      </c>
      <c r="AD83" s="54">
        <f t="shared" si="98"/>
        <v>0</v>
      </c>
      <c r="AE83" s="54">
        <f t="shared" si="99"/>
        <v>0</v>
      </c>
      <c r="AF83" s="54">
        <f t="shared" si="100"/>
        <v>0</v>
      </c>
      <c r="AG83" s="54">
        <f t="shared" si="101"/>
        <v>0</v>
      </c>
      <c r="AH83" s="54">
        <f t="shared" si="102"/>
        <v>0</v>
      </c>
      <c r="AI83" s="34" t="s">
        <v>291</v>
      </c>
      <c r="AJ83" s="54">
        <f t="shared" si="103"/>
        <v>0</v>
      </c>
      <c r="AK83" s="54">
        <f t="shared" si="104"/>
        <v>0</v>
      </c>
      <c r="AL83" s="54">
        <f t="shared" si="105"/>
        <v>0</v>
      </c>
      <c r="AN83" s="54">
        <v>21</v>
      </c>
      <c r="AO83" s="54">
        <f>G83*0</f>
        <v>0</v>
      </c>
      <c r="AP83" s="54">
        <f>G83*(1-0)</f>
        <v>0</v>
      </c>
      <c r="AQ83" s="57" t="s">
        <v>108</v>
      </c>
      <c r="AV83" s="54">
        <f t="shared" si="106"/>
        <v>0</v>
      </c>
      <c r="AW83" s="54">
        <f t="shared" si="107"/>
        <v>0</v>
      </c>
      <c r="AX83" s="54">
        <f t="shared" si="108"/>
        <v>0</v>
      </c>
      <c r="AY83" s="57" t="s">
        <v>236</v>
      </c>
      <c r="AZ83" s="57" t="s">
        <v>293</v>
      </c>
      <c r="BA83" s="34" t="s">
        <v>294</v>
      </c>
      <c r="BC83" s="54">
        <f t="shared" si="109"/>
        <v>0</v>
      </c>
      <c r="BD83" s="54">
        <f t="shared" si="110"/>
        <v>0</v>
      </c>
      <c r="BE83" s="54">
        <v>0</v>
      </c>
      <c r="BF83" s="54">
        <f>83</f>
        <v>83</v>
      </c>
      <c r="BH83" s="54">
        <f t="shared" si="111"/>
        <v>0</v>
      </c>
      <c r="BI83" s="54">
        <f t="shared" si="112"/>
        <v>0</v>
      </c>
      <c r="BJ83" s="54">
        <f t="shared" si="113"/>
        <v>0</v>
      </c>
      <c r="BK83" s="57" t="s">
        <v>115</v>
      </c>
      <c r="BL83" s="54">
        <v>18</v>
      </c>
      <c r="BW83" s="54">
        <v>21</v>
      </c>
      <c r="BX83" s="3" t="s">
        <v>248</v>
      </c>
    </row>
    <row r="84" spans="1:76" x14ac:dyDescent="0.25">
      <c r="A84" s="1" t="s">
        <v>304</v>
      </c>
      <c r="B84" s="2" t="s">
        <v>305</v>
      </c>
      <c r="C84" s="83" t="s">
        <v>306</v>
      </c>
      <c r="D84" s="78"/>
      <c r="E84" s="2" t="s">
        <v>111</v>
      </c>
      <c r="F84" s="54">
        <v>7</v>
      </c>
      <c r="G84" s="55">
        <v>0</v>
      </c>
      <c r="H84" s="54">
        <f t="shared" si="92"/>
        <v>0</v>
      </c>
      <c r="I84" s="54">
        <f t="shared" si="93"/>
        <v>0</v>
      </c>
      <c r="J84" s="54">
        <f t="shared" si="94"/>
        <v>0</v>
      </c>
      <c r="K84" s="56" t="s">
        <v>4</v>
      </c>
      <c r="Z84" s="54">
        <f t="shared" si="95"/>
        <v>0</v>
      </c>
      <c r="AB84" s="54">
        <f t="shared" si="96"/>
        <v>0</v>
      </c>
      <c r="AC84" s="54">
        <f t="shared" si="97"/>
        <v>0</v>
      </c>
      <c r="AD84" s="54">
        <f t="shared" si="98"/>
        <v>0</v>
      </c>
      <c r="AE84" s="54">
        <f t="shared" si="99"/>
        <v>0</v>
      </c>
      <c r="AF84" s="54">
        <f t="shared" si="100"/>
        <v>0</v>
      </c>
      <c r="AG84" s="54">
        <f t="shared" si="101"/>
        <v>0</v>
      </c>
      <c r="AH84" s="54">
        <f t="shared" si="102"/>
        <v>0</v>
      </c>
      <c r="AI84" s="34" t="s">
        <v>291</v>
      </c>
      <c r="AJ84" s="54">
        <f t="shared" si="103"/>
        <v>0</v>
      </c>
      <c r="AK84" s="54">
        <f t="shared" si="104"/>
        <v>0</v>
      </c>
      <c r="AL84" s="54">
        <f t="shared" si="105"/>
        <v>0</v>
      </c>
      <c r="AN84" s="54">
        <v>21</v>
      </c>
      <c r="AO84" s="54">
        <f>G84*0.401227621</f>
        <v>0</v>
      </c>
      <c r="AP84" s="54">
        <f>G84*(1-0.401227621)</f>
        <v>0</v>
      </c>
      <c r="AQ84" s="57" t="s">
        <v>108</v>
      </c>
      <c r="AV84" s="54">
        <f t="shared" si="106"/>
        <v>0</v>
      </c>
      <c r="AW84" s="54">
        <f t="shared" si="107"/>
        <v>0</v>
      </c>
      <c r="AX84" s="54">
        <f t="shared" si="108"/>
        <v>0</v>
      </c>
      <c r="AY84" s="57" t="s">
        <v>236</v>
      </c>
      <c r="AZ84" s="57" t="s">
        <v>293</v>
      </c>
      <c r="BA84" s="34" t="s">
        <v>294</v>
      </c>
      <c r="BC84" s="54">
        <f t="shared" si="109"/>
        <v>0</v>
      </c>
      <c r="BD84" s="54">
        <f t="shared" si="110"/>
        <v>0</v>
      </c>
      <c r="BE84" s="54">
        <v>0</v>
      </c>
      <c r="BF84" s="54">
        <f>84</f>
        <v>84</v>
      </c>
      <c r="BH84" s="54">
        <f t="shared" si="111"/>
        <v>0</v>
      </c>
      <c r="BI84" s="54">
        <f t="shared" si="112"/>
        <v>0</v>
      </c>
      <c r="BJ84" s="54">
        <f t="shared" si="113"/>
        <v>0</v>
      </c>
      <c r="BK84" s="57" t="s">
        <v>115</v>
      </c>
      <c r="BL84" s="54">
        <v>18</v>
      </c>
      <c r="BW84" s="54">
        <v>21</v>
      </c>
      <c r="BX84" s="3" t="s">
        <v>306</v>
      </c>
    </row>
    <row r="85" spans="1:76" x14ac:dyDescent="0.25">
      <c r="A85" s="1" t="s">
        <v>307</v>
      </c>
      <c r="B85" s="2" t="s">
        <v>308</v>
      </c>
      <c r="C85" s="83" t="s">
        <v>309</v>
      </c>
      <c r="D85" s="78"/>
      <c r="E85" s="2" t="s">
        <v>214</v>
      </c>
      <c r="F85" s="54">
        <v>7</v>
      </c>
      <c r="G85" s="55">
        <v>0</v>
      </c>
      <c r="H85" s="54">
        <f t="shared" si="92"/>
        <v>0</v>
      </c>
      <c r="I85" s="54">
        <f t="shared" si="93"/>
        <v>0</v>
      </c>
      <c r="J85" s="54">
        <f t="shared" si="94"/>
        <v>0</v>
      </c>
      <c r="K85" s="56" t="s">
        <v>4</v>
      </c>
      <c r="Z85" s="54">
        <f t="shared" si="95"/>
        <v>0</v>
      </c>
      <c r="AB85" s="54">
        <f t="shared" si="96"/>
        <v>0</v>
      </c>
      <c r="AC85" s="54">
        <f t="shared" si="97"/>
        <v>0</v>
      </c>
      <c r="AD85" s="54">
        <f t="shared" si="98"/>
        <v>0</v>
      </c>
      <c r="AE85" s="54">
        <f t="shared" si="99"/>
        <v>0</v>
      </c>
      <c r="AF85" s="54">
        <f t="shared" si="100"/>
        <v>0</v>
      </c>
      <c r="AG85" s="54">
        <f t="shared" si="101"/>
        <v>0</v>
      </c>
      <c r="AH85" s="54">
        <f t="shared" si="102"/>
        <v>0</v>
      </c>
      <c r="AI85" s="34" t="s">
        <v>291</v>
      </c>
      <c r="AJ85" s="54">
        <f t="shared" si="103"/>
        <v>0</v>
      </c>
      <c r="AK85" s="54">
        <f t="shared" si="104"/>
        <v>0</v>
      </c>
      <c r="AL85" s="54">
        <f t="shared" si="105"/>
        <v>0</v>
      </c>
      <c r="AN85" s="54">
        <v>21</v>
      </c>
      <c r="AO85" s="54">
        <f>G85*0</f>
        <v>0</v>
      </c>
      <c r="AP85" s="54">
        <f>G85*(1-0)</f>
        <v>0</v>
      </c>
      <c r="AQ85" s="57" t="s">
        <v>108</v>
      </c>
      <c r="AV85" s="54">
        <f t="shared" si="106"/>
        <v>0</v>
      </c>
      <c r="AW85" s="54">
        <f t="shared" si="107"/>
        <v>0</v>
      </c>
      <c r="AX85" s="54">
        <f t="shared" si="108"/>
        <v>0</v>
      </c>
      <c r="AY85" s="57" t="s">
        <v>236</v>
      </c>
      <c r="AZ85" s="57" t="s">
        <v>293</v>
      </c>
      <c r="BA85" s="34" t="s">
        <v>294</v>
      </c>
      <c r="BC85" s="54">
        <f t="shared" si="109"/>
        <v>0</v>
      </c>
      <c r="BD85" s="54">
        <f t="shared" si="110"/>
        <v>0</v>
      </c>
      <c r="BE85" s="54">
        <v>0</v>
      </c>
      <c r="BF85" s="54">
        <f>85</f>
        <v>85</v>
      </c>
      <c r="BH85" s="54">
        <f t="shared" si="111"/>
        <v>0</v>
      </c>
      <c r="BI85" s="54">
        <f t="shared" si="112"/>
        <v>0</v>
      </c>
      <c r="BJ85" s="54">
        <f t="shared" si="113"/>
        <v>0</v>
      </c>
      <c r="BK85" s="57" t="s">
        <v>115</v>
      </c>
      <c r="BL85" s="54">
        <v>18</v>
      </c>
      <c r="BW85" s="54">
        <v>21</v>
      </c>
      <c r="BX85" s="3" t="s">
        <v>309</v>
      </c>
    </row>
    <row r="86" spans="1:76" x14ac:dyDescent="0.25">
      <c r="A86" s="1" t="s">
        <v>310</v>
      </c>
      <c r="B86" s="2" t="s">
        <v>256</v>
      </c>
      <c r="C86" s="83" t="s">
        <v>257</v>
      </c>
      <c r="D86" s="78"/>
      <c r="E86" s="2" t="s">
        <v>177</v>
      </c>
      <c r="F86" s="54">
        <v>1</v>
      </c>
      <c r="G86" s="55">
        <v>0</v>
      </c>
      <c r="H86" s="54">
        <f t="shared" si="92"/>
        <v>0</v>
      </c>
      <c r="I86" s="54">
        <f t="shared" si="93"/>
        <v>0</v>
      </c>
      <c r="J86" s="54">
        <f t="shared" si="94"/>
        <v>0</v>
      </c>
      <c r="K86" s="56" t="s">
        <v>120</v>
      </c>
      <c r="Z86" s="54">
        <f t="shared" si="95"/>
        <v>0</v>
      </c>
      <c r="AB86" s="54">
        <f t="shared" si="96"/>
        <v>0</v>
      </c>
      <c r="AC86" s="54">
        <f t="shared" si="97"/>
        <v>0</v>
      </c>
      <c r="AD86" s="54">
        <f t="shared" si="98"/>
        <v>0</v>
      </c>
      <c r="AE86" s="54">
        <f t="shared" si="99"/>
        <v>0</v>
      </c>
      <c r="AF86" s="54">
        <f t="shared" si="100"/>
        <v>0</v>
      </c>
      <c r="AG86" s="54">
        <f t="shared" si="101"/>
        <v>0</v>
      </c>
      <c r="AH86" s="54">
        <f t="shared" si="102"/>
        <v>0</v>
      </c>
      <c r="AI86" s="34" t="s">
        <v>291</v>
      </c>
      <c r="AJ86" s="54">
        <f t="shared" si="103"/>
        <v>0</v>
      </c>
      <c r="AK86" s="54">
        <f t="shared" si="104"/>
        <v>0</v>
      </c>
      <c r="AL86" s="54">
        <f t="shared" si="105"/>
        <v>0</v>
      </c>
      <c r="AN86" s="54">
        <v>21</v>
      </c>
      <c r="AO86" s="54">
        <f>G86*0</f>
        <v>0</v>
      </c>
      <c r="AP86" s="54">
        <f>G86*(1-0)</f>
        <v>0</v>
      </c>
      <c r="AQ86" s="57" t="s">
        <v>108</v>
      </c>
      <c r="AV86" s="54">
        <f t="shared" si="106"/>
        <v>0</v>
      </c>
      <c r="AW86" s="54">
        <f t="shared" si="107"/>
        <v>0</v>
      </c>
      <c r="AX86" s="54">
        <f t="shared" si="108"/>
        <v>0</v>
      </c>
      <c r="AY86" s="57" t="s">
        <v>236</v>
      </c>
      <c r="AZ86" s="57" t="s">
        <v>293</v>
      </c>
      <c r="BA86" s="34" t="s">
        <v>294</v>
      </c>
      <c r="BC86" s="54">
        <f t="shared" si="109"/>
        <v>0</v>
      </c>
      <c r="BD86" s="54">
        <f t="shared" si="110"/>
        <v>0</v>
      </c>
      <c r="BE86" s="54">
        <v>0</v>
      </c>
      <c r="BF86" s="54">
        <f>86</f>
        <v>86</v>
      </c>
      <c r="BH86" s="54">
        <f t="shared" si="111"/>
        <v>0</v>
      </c>
      <c r="BI86" s="54">
        <f t="shared" si="112"/>
        <v>0</v>
      </c>
      <c r="BJ86" s="54">
        <f t="shared" si="113"/>
        <v>0</v>
      </c>
      <c r="BK86" s="57" t="s">
        <v>115</v>
      </c>
      <c r="BL86" s="54">
        <v>18</v>
      </c>
      <c r="BW86" s="54">
        <v>21</v>
      </c>
      <c r="BX86" s="3" t="s">
        <v>257</v>
      </c>
    </row>
    <row r="87" spans="1:76" x14ac:dyDescent="0.25">
      <c r="A87" s="49" t="s">
        <v>4</v>
      </c>
      <c r="B87" s="50" t="s">
        <v>258</v>
      </c>
      <c r="C87" s="161" t="s">
        <v>259</v>
      </c>
      <c r="D87" s="162"/>
      <c r="E87" s="51" t="s">
        <v>69</v>
      </c>
      <c r="F87" s="51" t="s">
        <v>69</v>
      </c>
      <c r="G87" s="52" t="s">
        <v>69</v>
      </c>
      <c r="H87" s="28">
        <f>SUM(H88:H88)</f>
        <v>0</v>
      </c>
      <c r="I87" s="28">
        <f>SUM(I88:I88)</f>
        <v>0</v>
      </c>
      <c r="J87" s="28">
        <f>SUM(J88:J88)</f>
        <v>0</v>
      </c>
      <c r="K87" s="53" t="s">
        <v>4</v>
      </c>
      <c r="AI87" s="34" t="s">
        <v>291</v>
      </c>
      <c r="AS87" s="28">
        <f>SUM(AJ88:AJ88)</f>
        <v>0</v>
      </c>
      <c r="AT87" s="28">
        <f>SUM(AK88:AK88)</f>
        <v>0</v>
      </c>
      <c r="AU87" s="28">
        <f>SUM(AL88:AL88)</f>
        <v>0</v>
      </c>
    </row>
    <row r="88" spans="1:76" x14ac:dyDescent="0.25">
      <c r="A88" s="1" t="s">
        <v>311</v>
      </c>
      <c r="B88" s="2" t="s">
        <v>219</v>
      </c>
      <c r="C88" s="83" t="s">
        <v>220</v>
      </c>
      <c r="D88" s="78"/>
      <c r="E88" s="2" t="s">
        <v>136</v>
      </c>
      <c r="F88" s="54">
        <v>1.78</v>
      </c>
      <c r="G88" s="55">
        <v>0</v>
      </c>
      <c r="H88" s="54">
        <f>ROUND(F88*AO88,2)</f>
        <v>0</v>
      </c>
      <c r="I88" s="54">
        <f>ROUND(F88*AP88,2)</f>
        <v>0</v>
      </c>
      <c r="J88" s="54">
        <f>ROUND(F88*G88,2)</f>
        <v>0</v>
      </c>
      <c r="K88" s="56" t="s">
        <v>120</v>
      </c>
      <c r="Z88" s="54">
        <f>ROUND(IF(AQ88="5",BJ88,0),2)</f>
        <v>0</v>
      </c>
      <c r="AB88" s="54">
        <f>ROUND(IF(AQ88="1",BH88,0),2)</f>
        <v>0</v>
      </c>
      <c r="AC88" s="54">
        <f>ROUND(IF(AQ88="1",BI88,0),2)</f>
        <v>0</v>
      </c>
      <c r="AD88" s="54">
        <f>ROUND(IF(AQ88="7",BH88,0),2)</f>
        <v>0</v>
      </c>
      <c r="AE88" s="54">
        <f>ROUND(IF(AQ88="7",BI88,0),2)</f>
        <v>0</v>
      </c>
      <c r="AF88" s="54">
        <f>ROUND(IF(AQ88="2",BH88,0),2)</f>
        <v>0</v>
      </c>
      <c r="AG88" s="54">
        <f>ROUND(IF(AQ88="2",BI88,0),2)</f>
        <v>0</v>
      </c>
      <c r="AH88" s="54">
        <f>ROUND(IF(AQ88="0",BJ88,0),2)</f>
        <v>0</v>
      </c>
      <c r="AI88" s="34" t="s">
        <v>291</v>
      </c>
      <c r="AJ88" s="54">
        <f>IF(AN88=0,J88,0)</f>
        <v>0</v>
      </c>
      <c r="AK88" s="54">
        <f>IF(AN88=0,J88,0)</f>
        <v>0</v>
      </c>
      <c r="AL88" s="54">
        <f>IF(AN88=21,J88,0)</f>
        <v>0</v>
      </c>
      <c r="AN88" s="54">
        <v>21</v>
      </c>
      <c r="AO88" s="54">
        <f>G88*0</f>
        <v>0</v>
      </c>
      <c r="AP88" s="54">
        <f>G88*(1-0)</f>
        <v>0</v>
      </c>
      <c r="AQ88" s="57" t="s">
        <v>129</v>
      </c>
      <c r="AV88" s="54">
        <f>ROUND(AW88+AX88,2)</f>
        <v>0</v>
      </c>
      <c r="AW88" s="54">
        <f>ROUND(F88*AO88,2)</f>
        <v>0</v>
      </c>
      <c r="AX88" s="54">
        <f>ROUND(F88*AP88,2)</f>
        <v>0</v>
      </c>
      <c r="AY88" s="57" t="s">
        <v>261</v>
      </c>
      <c r="AZ88" s="57" t="s">
        <v>312</v>
      </c>
      <c r="BA88" s="34" t="s">
        <v>294</v>
      </c>
      <c r="BC88" s="54">
        <f>AW88+AX88</f>
        <v>0</v>
      </c>
      <c r="BD88" s="54">
        <f>G88/(100-BE88)*100</f>
        <v>0</v>
      </c>
      <c r="BE88" s="54">
        <v>0</v>
      </c>
      <c r="BF88" s="54">
        <f>88</f>
        <v>88</v>
      </c>
      <c r="BH88" s="54">
        <f>F88*AO88</f>
        <v>0</v>
      </c>
      <c r="BI88" s="54">
        <f>F88*AP88</f>
        <v>0</v>
      </c>
      <c r="BJ88" s="54">
        <f>F88*G88</f>
        <v>0</v>
      </c>
      <c r="BK88" s="57" t="s">
        <v>115</v>
      </c>
      <c r="BL88" s="54"/>
      <c r="BW88" s="54">
        <v>21</v>
      </c>
      <c r="BX88" s="3" t="s">
        <v>220</v>
      </c>
    </row>
    <row r="89" spans="1:76" x14ac:dyDescent="0.25">
      <c r="A89" s="49" t="s">
        <v>4</v>
      </c>
      <c r="B89" s="50" t="s">
        <v>190</v>
      </c>
      <c r="C89" s="161" t="s">
        <v>40</v>
      </c>
      <c r="D89" s="162"/>
      <c r="E89" s="51" t="s">
        <v>69</v>
      </c>
      <c r="F89" s="51" t="s">
        <v>69</v>
      </c>
      <c r="G89" s="52" t="s">
        <v>69</v>
      </c>
      <c r="H89" s="28">
        <f>SUM(H90:H98)</f>
        <v>0</v>
      </c>
      <c r="I89" s="28">
        <f>SUM(I90:I98)</f>
        <v>0</v>
      </c>
      <c r="J89" s="28">
        <f>SUM(J90:J98)</f>
        <v>0</v>
      </c>
      <c r="K89" s="53" t="s">
        <v>4</v>
      </c>
      <c r="AI89" s="34" t="s">
        <v>291</v>
      </c>
      <c r="AS89" s="28">
        <f>SUM(AJ90:AJ98)</f>
        <v>0</v>
      </c>
      <c r="AT89" s="28">
        <f>SUM(AK90:AK98)</f>
        <v>0</v>
      </c>
      <c r="AU89" s="28">
        <f>SUM(AL90:AL98)</f>
        <v>0</v>
      </c>
    </row>
    <row r="90" spans="1:76" x14ac:dyDescent="0.25">
      <c r="A90" s="1" t="s">
        <v>313</v>
      </c>
      <c r="B90" s="2" t="s">
        <v>264</v>
      </c>
      <c r="C90" s="83" t="s">
        <v>265</v>
      </c>
      <c r="D90" s="78"/>
      <c r="E90" s="2" t="s">
        <v>214</v>
      </c>
      <c r="F90" s="54">
        <v>84</v>
      </c>
      <c r="G90" s="55">
        <v>0</v>
      </c>
      <c r="H90" s="54">
        <f t="shared" ref="H90:H98" si="114">ROUND(F90*AO90,2)</f>
        <v>0</v>
      </c>
      <c r="I90" s="54">
        <f t="shared" ref="I90:I98" si="115">ROUND(F90*AP90,2)</f>
        <v>0</v>
      </c>
      <c r="J90" s="54">
        <f t="shared" ref="J90:J98" si="116">ROUND(F90*G90,2)</f>
        <v>0</v>
      </c>
      <c r="K90" s="56" t="s">
        <v>4</v>
      </c>
      <c r="Z90" s="54">
        <f t="shared" ref="Z90:Z98" si="117">ROUND(IF(AQ90="5",BJ90,0),2)</f>
        <v>0</v>
      </c>
      <c r="AB90" s="54">
        <f t="shared" ref="AB90:AB98" si="118">ROUND(IF(AQ90="1",BH90,0),2)</f>
        <v>0</v>
      </c>
      <c r="AC90" s="54">
        <f t="shared" ref="AC90:AC98" si="119">ROUND(IF(AQ90="1",BI90,0),2)</f>
        <v>0</v>
      </c>
      <c r="AD90" s="54">
        <f t="shared" ref="AD90:AD98" si="120">ROUND(IF(AQ90="7",BH90,0),2)</f>
        <v>0</v>
      </c>
      <c r="AE90" s="54">
        <f t="shared" ref="AE90:AE98" si="121">ROUND(IF(AQ90="7",BI90,0),2)</f>
        <v>0</v>
      </c>
      <c r="AF90" s="54">
        <f t="shared" ref="AF90:AF98" si="122">ROUND(IF(AQ90="2",BH90,0),2)</f>
        <v>0</v>
      </c>
      <c r="AG90" s="54">
        <f t="shared" ref="AG90:AG98" si="123">ROUND(IF(AQ90="2",BI90,0),2)</f>
        <v>0</v>
      </c>
      <c r="AH90" s="54">
        <f t="shared" ref="AH90:AH98" si="124">ROUND(IF(AQ90="0",BJ90,0),2)</f>
        <v>0</v>
      </c>
      <c r="AI90" s="34" t="s">
        <v>291</v>
      </c>
      <c r="AJ90" s="54">
        <f t="shared" ref="AJ90:AJ98" si="125">IF(AN90=0,J90,0)</f>
        <v>0</v>
      </c>
      <c r="AK90" s="54">
        <f t="shared" ref="AK90:AK98" si="126">IF(AN90=0,J90,0)</f>
        <v>0</v>
      </c>
      <c r="AL90" s="54">
        <f t="shared" ref="AL90:AL98" si="127">IF(AN90=21,J90,0)</f>
        <v>0</v>
      </c>
      <c r="AN90" s="54">
        <v>21</v>
      </c>
      <c r="AO90" s="54">
        <f t="shared" ref="AO90:AO98" si="128">G90*1</f>
        <v>0</v>
      </c>
      <c r="AP90" s="54">
        <f t="shared" ref="AP90:AP98" si="129">G90*(1-1)</f>
        <v>0</v>
      </c>
      <c r="AQ90" s="57" t="s">
        <v>194</v>
      </c>
      <c r="AV90" s="54">
        <f t="shared" ref="AV90:AV98" si="130">ROUND(AW90+AX90,2)</f>
        <v>0</v>
      </c>
      <c r="AW90" s="54">
        <f t="shared" ref="AW90:AW98" si="131">ROUND(F90*AO90,2)</f>
        <v>0</v>
      </c>
      <c r="AX90" s="54">
        <f t="shared" ref="AX90:AX98" si="132">ROUND(F90*AP90,2)</f>
        <v>0</v>
      </c>
      <c r="AY90" s="57" t="s">
        <v>195</v>
      </c>
      <c r="AZ90" s="57" t="s">
        <v>314</v>
      </c>
      <c r="BA90" s="34" t="s">
        <v>294</v>
      </c>
      <c r="BC90" s="54">
        <f t="shared" ref="BC90:BC98" si="133">AW90+AX90</f>
        <v>0</v>
      </c>
      <c r="BD90" s="54">
        <f t="shared" ref="BD90:BD98" si="134">G90/(100-BE90)*100</f>
        <v>0</v>
      </c>
      <c r="BE90" s="54">
        <v>0</v>
      </c>
      <c r="BF90" s="54">
        <f>90</f>
        <v>90</v>
      </c>
      <c r="BH90" s="54">
        <f t="shared" ref="BH90:BH98" si="135">F90*AO90</f>
        <v>0</v>
      </c>
      <c r="BI90" s="54">
        <f t="shared" ref="BI90:BI98" si="136">F90*AP90</f>
        <v>0</v>
      </c>
      <c r="BJ90" s="54">
        <f t="shared" ref="BJ90:BJ98" si="137">F90*G90</f>
        <v>0</v>
      </c>
      <c r="BK90" s="57" t="s">
        <v>190</v>
      </c>
      <c r="BL90" s="54"/>
      <c r="BW90" s="54">
        <v>21</v>
      </c>
      <c r="BX90" s="3" t="s">
        <v>265</v>
      </c>
    </row>
    <row r="91" spans="1:76" x14ac:dyDescent="0.25">
      <c r="A91" s="1" t="s">
        <v>315</v>
      </c>
      <c r="B91" s="2" t="s">
        <v>271</v>
      </c>
      <c r="C91" s="83" t="s">
        <v>272</v>
      </c>
      <c r="D91" s="78"/>
      <c r="E91" s="2" t="s">
        <v>214</v>
      </c>
      <c r="F91" s="54">
        <v>7</v>
      </c>
      <c r="G91" s="55">
        <v>0</v>
      </c>
      <c r="H91" s="54">
        <f t="shared" si="114"/>
        <v>0</v>
      </c>
      <c r="I91" s="54">
        <f t="shared" si="115"/>
        <v>0</v>
      </c>
      <c r="J91" s="54">
        <f t="shared" si="116"/>
        <v>0</v>
      </c>
      <c r="K91" s="56" t="s">
        <v>4</v>
      </c>
      <c r="Z91" s="54">
        <f t="shared" si="117"/>
        <v>0</v>
      </c>
      <c r="AB91" s="54">
        <f t="shared" si="118"/>
        <v>0</v>
      </c>
      <c r="AC91" s="54">
        <f t="shared" si="119"/>
        <v>0</v>
      </c>
      <c r="AD91" s="54">
        <f t="shared" si="120"/>
        <v>0</v>
      </c>
      <c r="AE91" s="54">
        <f t="shared" si="121"/>
        <v>0</v>
      </c>
      <c r="AF91" s="54">
        <f t="shared" si="122"/>
        <v>0</v>
      </c>
      <c r="AG91" s="54">
        <f t="shared" si="123"/>
        <v>0</v>
      </c>
      <c r="AH91" s="54">
        <f t="shared" si="124"/>
        <v>0</v>
      </c>
      <c r="AI91" s="34" t="s">
        <v>291</v>
      </c>
      <c r="AJ91" s="54">
        <f t="shared" si="125"/>
        <v>0</v>
      </c>
      <c r="AK91" s="54">
        <f t="shared" si="126"/>
        <v>0</v>
      </c>
      <c r="AL91" s="54">
        <f t="shared" si="127"/>
        <v>0</v>
      </c>
      <c r="AN91" s="54">
        <v>21</v>
      </c>
      <c r="AO91" s="54">
        <f t="shared" si="128"/>
        <v>0</v>
      </c>
      <c r="AP91" s="54">
        <f t="shared" si="129"/>
        <v>0</v>
      </c>
      <c r="AQ91" s="57" t="s">
        <v>194</v>
      </c>
      <c r="AV91" s="54">
        <f t="shared" si="130"/>
        <v>0</v>
      </c>
      <c r="AW91" s="54">
        <f t="shared" si="131"/>
        <v>0</v>
      </c>
      <c r="AX91" s="54">
        <f t="shared" si="132"/>
        <v>0</v>
      </c>
      <c r="AY91" s="57" t="s">
        <v>195</v>
      </c>
      <c r="AZ91" s="57" t="s">
        <v>314</v>
      </c>
      <c r="BA91" s="34" t="s">
        <v>294</v>
      </c>
      <c r="BC91" s="54">
        <f t="shared" si="133"/>
        <v>0</v>
      </c>
      <c r="BD91" s="54">
        <f t="shared" si="134"/>
        <v>0</v>
      </c>
      <c r="BE91" s="54">
        <v>0</v>
      </c>
      <c r="BF91" s="54">
        <f>91</f>
        <v>91</v>
      </c>
      <c r="BH91" s="54">
        <f t="shared" si="135"/>
        <v>0</v>
      </c>
      <c r="BI91" s="54">
        <f t="shared" si="136"/>
        <v>0</v>
      </c>
      <c r="BJ91" s="54">
        <f t="shared" si="137"/>
        <v>0</v>
      </c>
      <c r="BK91" s="57" t="s">
        <v>190</v>
      </c>
      <c r="BL91" s="54"/>
      <c r="BW91" s="54">
        <v>21</v>
      </c>
      <c r="BX91" s="3" t="s">
        <v>272</v>
      </c>
    </row>
    <row r="92" spans="1:76" x14ac:dyDescent="0.25">
      <c r="A92" s="1" t="s">
        <v>316</v>
      </c>
      <c r="B92" s="2" t="s">
        <v>317</v>
      </c>
      <c r="C92" s="83" t="s">
        <v>318</v>
      </c>
      <c r="D92" s="78"/>
      <c r="E92" s="2" t="s">
        <v>177</v>
      </c>
      <c r="F92" s="54">
        <v>1</v>
      </c>
      <c r="G92" s="55">
        <v>0</v>
      </c>
      <c r="H92" s="54">
        <f t="shared" si="114"/>
        <v>0</v>
      </c>
      <c r="I92" s="54">
        <f t="shared" si="115"/>
        <v>0</v>
      </c>
      <c r="J92" s="54">
        <f t="shared" si="116"/>
        <v>0</v>
      </c>
      <c r="K92" s="56" t="s">
        <v>120</v>
      </c>
      <c r="Z92" s="54">
        <f t="shared" si="117"/>
        <v>0</v>
      </c>
      <c r="AB92" s="54">
        <f t="shared" si="118"/>
        <v>0</v>
      </c>
      <c r="AC92" s="54">
        <f t="shared" si="119"/>
        <v>0</v>
      </c>
      <c r="AD92" s="54">
        <f t="shared" si="120"/>
        <v>0</v>
      </c>
      <c r="AE92" s="54">
        <f t="shared" si="121"/>
        <v>0</v>
      </c>
      <c r="AF92" s="54">
        <f t="shared" si="122"/>
        <v>0</v>
      </c>
      <c r="AG92" s="54">
        <f t="shared" si="123"/>
        <v>0</v>
      </c>
      <c r="AH92" s="54">
        <f t="shared" si="124"/>
        <v>0</v>
      </c>
      <c r="AI92" s="34" t="s">
        <v>291</v>
      </c>
      <c r="AJ92" s="54">
        <f t="shared" si="125"/>
        <v>0</v>
      </c>
      <c r="AK92" s="54">
        <f t="shared" si="126"/>
        <v>0</v>
      </c>
      <c r="AL92" s="54">
        <f t="shared" si="127"/>
        <v>0</v>
      </c>
      <c r="AN92" s="54">
        <v>21</v>
      </c>
      <c r="AO92" s="54">
        <f t="shared" si="128"/>
        <v>0</v>
      </c>
      <c r="AP92" s="54">
        <f t="shared" si="129"/>
        <v>0</v>
      </c>
      <c r="AQ92" s="57" t="s">
        <v>194</v>
      </c>
      <c r="AV92" s="54">
        <f t="shared" si="130"/>
        <v>0</v>
      </c>
      <c r="AW92" s="54">
        <f t="shared" si="131"/>
        <v>0</v>
      </c>
      <c r="AX92" s="54">
        <f t="shared" si="132"/>
        <v>0</v>
      </c>
      <c r="AY92" s="57" t="s">
        <v>195</v>
      </c>
      <c r="AZ92" s="57" t="s">
        <v>314</v>
      </c>
      <c r="BA92" s="34" t="s">
        <v>294</v>
      </c>
      <c r="BC92" s="54">
        <f t="shared" si="133"/>
        <v>0</v>
      </c>
      <c r="BD92" s="54">
        <f t="shared" si="134"/>
        <v>0</v>
      </c>
      <c r="BE92" s="54">
        <v>0</v>
      </c>
      <c r="BF92" s="54">
        <f>92</f>
        <v>92</v>
      </c>
      <c r="BH92" s="54">
        <f t="shared" si="135"/>
        <v>0</v>
      </c>
      <c r="BI92" s="54">
        <f t="shared" si="136"/>
        <v>0</v>
      </c>
      <c r="BJ92" s="54">
        <f t="shared" si="137"/>
        <v>0</v>
      </c>
      <c r="BK92" s="57" t="s">
        <v>190</v>
      </c>
      <c r="BL92" s="54"/>
      <c r="BW92" s="54">
        <v>21</v>
      </c>
      <c r="BX92" s="3" t="s">
        <v>318</v>
      </c>
    </row>
    <row r="93" spans="1:76" ht="25.5" x14ac:dyDescent="0.25">
      <c r="A93" s="1" t="s">
        <v>319</v>
      </c>
      <c r="B93" s="2" t="s">
        <v>274</v>
      </c>
      <c r="C93" s="83" t="s">
        <v>275</v>
      </c>
      <c r="D93" s="78"/>
      <c r="E93" s="2" t="s">
        <v>276</v>
      </c>
      <c r="F93" s="54">
        <v>3.5</v>
      </c>
      <c r="G93" s="55">
        <v>0</v>
      </c>
      <c r="H93" s="54">
        <f t="shared" si="114"/>
        <v>0</v>
      </c>
      <c r="I93" s="54">
        <f t="shared" si="115"/>
        <v>0</v>
      </c>
      <c r="J93" s="54">
        <f t="shared" si="116"/>
        <v>0</v>
      </c>
      <c r="K93" s="56" t="s">
        <v>4</v>
      </c>
      <c r="Z93" s="54">
        <f t="shared" si="117"/>
        <v>0</v>
      </c>
      <c r="AB93" s="54">
        <f t="shared" si="118"/>
        <v>0</v>
      </c>
      <c r="AC93" s="54">
        <f t="shared" si="119"/>
        <v>0</v>
      </c>
      <c r="AD93" s="54">
        <f t="shared" si="120"/>
        <v>0</v>
      </c>
      <c r="AE93" s="54">
        <f t="shared" si="121"/>
        <v>0</v>
      </c>
      <c r="AF93" s="54">
        <f t="shared" si="122"/>
        <v>0</v>
      </c>
      <c r="AG93" s="54">
        <f t="shared" si="123"/>
        <v>0</v>
      </c>
      <c r="AH93" s="54">
        <f t="shared" si="124"/>
        <v>0</v>
      </c>
      <c r="AI93" s="34" t="s">
        <v>291</v>
      </c>
      <c r="AJ93" s="54">
        <f t="shared" si="125"/>
        <v>0</v>
      </c>
      <c r="AK93" s="54">
        <f t="shared" si="126"/>
        <v>0</v>
      </c>
      <c r="AL93" s="54">
        <f t="shared" si="127"/>
        <v>0</v>
      </c>
      <c r="AN93" s="54">
        <v>21</v>
      </c>
      <c r="AO93" s="54">
        <f t="shared" si="128"/>
        <v>0</v>
      </c>
      <c r="AP93" s="54">
        <f t="shared" si="129"/>
        <v>0</v>
      </c>
      <c r="AQ93" s="57" t="s">
        <v>194</v>
      </c>
      <c r="AV93" s="54">
        <f t="shared" si="130"/>
        <v>0</v>
      </c>
      <c r="AW93" s="54">
        <f t="shared" si="131"/>
        <v>0</v>
      </c>
      <c r="AX93" s="54">
        <f t="shared" si="132"/>
        <v>0</v>
      </c>
      <c r="AY93" s="57" t="s">
        <v>195</v>
      </c>
      <c r="AZ93" s="57" t="s">
        <v>314</v>
      </c>
      <c r="BA93" s="34" t="s">
        <v>294</v>
      </c>
      <c r="BC93" s="54">
        <f t="shared" si="133"/>
        <v>0</v>
      </c>
      <c r="BD93" s="54">
        <f t="shared" si="134"/>
        <v>0</v>
      </c>
      <c r="BE93" s="54">
        <v>0</v>
      </c>
      <c r="BF93" s="54">
        <f>93</f>
        <v>93</v>
      </c>
      <c r="BH93" s="54">
        <f t="shared" si="135"/>
        <v>0</v>
      </c>
      <c r="BI93" s="54">
        <f t="shared" si="136"/>
        <v>0</v>
      </c>
      <c r="BJ93" s="54">
        <f t="shared" si="137"/>
        <v>0</v>
      </c>
      <c r="BK93" s="57" t="s">
        <v>190</v>
      </c>
      <c r="BL93" s="54"/>
      <c r="BW93" s="54">
        <v>21</v>
      </c>
      <c r="BX93" s="3" t="s">
        <v>275</v>
      </c>
    </row>
    <row r="94" spans="1:76" x14ac:dyDescent="0.25">
      <c r="A94" s="1" t="s">
        <v>320</v>
      </c>
      <c r="B94" s="2" t="s">
        <v>278</v>
      </c>
      <c r="C94" s="83" t="s">
        <v>279</v>
      </c>
      <c r="D94" s="78"/>
      <c r="E94" s="2" t="s">
        <v>177</v>
      </c>
      <c r="F94" s="54">
        <v>0.7</v>
      </c>
      <c r="G94" s="55">
        <v>0</v>
      </c>
      <c r="H94" s="54">
        <f t="shared" si="114"/>
        <v>0</v>
      </c>
      <c r="I94" s="54">
        <f t="shared" si="115"/>
        <v>0</v>
      </c>
      <c r="J94" s="54">
        <f t="shared" si="116"/>
        <v>0</v>
      </c>
      <c r="K94" s="56" t="s">
        <v>120</v>
      </c>
      <c r="Z94" s="54">
        <f t="shared" si="117"/>
        <v>0</v>
      </c>
      <c r="AB94" s="54">
        <f t="shared" si="118"/>
        <v>0</v>
      </c>
      <c r="AC94" s="54">
        <f t="shared" si="119"/>
        <v>0</v>
      </c>
      <c r="AD94" s="54">
        <f t="shared" si="120"/>
        <v>0</v>
      </c>
      <c r="AE94" s="54">
        <f t="shared" si="121"/>
        <v>0</v>
      </c>
      <c r="AF94" s="54">
        <f t="shared" si="122"/>
        <v>0</v>
      </c>
      <c r="AG94" s="54">
        <f t="shared" si="123"/>
        <v>0</v>
      </c>
      <c r="AH94" s="54">
        <f t="shared" si="124"/>
        <v>0</v>
      </c>
      <c r="AI94" s="34" t="s">
        <v>291</v>
      </c>
      <c r="AJ94" s="54">
        <f t="shared" si="125"/>
        <v>0</v>
      </c>
      <c r="AK94" s="54">
        <f t="shared" si="126"/>
        <v>0</v>
      </c>
      <c r="AL94" s="54">
        <f t="shared" si="127"/>
        <v>0</v>
      </c>
      <c r="AN94" s="54">
        <v>21</v>
      </c>
      <c r="AO94" s="54">
        <f t="shared" si="128"/>
        <v>0</v>
      </c>
      <c r="AP94" s="54">
        <f t="shared" si="129"/>
        <v>0</v>
      </c>
      <c r="AQ94" s="57" t="s">
        <v>194</v>
      </c>
      <c r="AV94" s="54">
        <f t="shared" si="130"/>
        <v>0</v>
      </c>
      <c r="AW94" s="54">
        <f t="shared" si="131"/>
        <v>0</v>
      </c>
      <c r="AX94" s="54">
        <f t="shared" si="132"/>
        <v>0</v>
      </c>
      <c r="AY94" s="57" t="s">
        <v>195</v>
      </c>
      <c r="AZ94" s="57" t="s">
        <v>314</v>
      </c>
      <c r="BA94" s="34" t="s">
        <v>294</v>
      </c>
      <c r="BC94" s="54">
        <f t="shared" si="133"/>
        <v>0</v>
      </c>
      <c r="BD94" s="54">
        <f t="shared" si="134"/>
        <v>0</v>
      </c>
      <c r="BE94" s="54">
        <v>0</v>
      </c>
      <c r="BF94" s="54">
        <f>94</f>
        <v>94</v>
      </c>
      <c r="BH94" s="54">
        <f t="shared" si="135"/>
        <v>0</v>
      </c>
      <c r="BI94" s="54">
        <f t="shared" si="136"/>
        <v>0</v>
      </c>
      <c r="BJ94" s="54">
        <f t="shared" si="137"/>
        <v>0</v>
      </c>
      <c r="BK94" s="57" t="s">
        <v>190</v>
      </c>
      <c r="BL94" s="54"/>
      <c r="BW94" s="54">
        <v>21</v>
      </c>
      <c r="BX94" s="3" t="s">
        <v>279</v>
      </c>
    </row>
    <row r="95" spans="1:76" x14ac:dyDescent="0.25">
      <c r="A95" s="1" t="s">
        <v>321</v>
      </c>
      <c r="B95" s="2" t="s">
        <v>281</v>
      </c>
      <c r="C95" s="83" t="s">
        <v>282</v>
      </c>
      <c r="D95" s="78"/>
      <c r="E95" s="2" t="s">
        <v>111</v>
      </c>
      <c r="F95" s="54">
        <v>7</v>
      </c>
      <c r="G95" s="55">
        <v>0</v>
      </c>
      <c r="H95" s="54">
        <f t="shared" si="114"/>
        <v>0</v>
      </c>
      <c r="I95" s="54">
        <f t="shared" si="115"/>
        <v>0</v>
      </c>
      <c r="J95" s="54">
        <f t="shared" si="116"/>
        <v>0</v>
      </c>
      <c r="K95" s="56" t="s">
        <v>4</v>
      </c>
      <c r="Z95" s="54">
        <f t="shared" si="117"/>
        <v>0</v>
      </c>
      <c r="AB95" s="54">
        <f t="shared" si="118"/>
        <v>0</v>
      </c>
      <c r="AC95" s="54">
        <f t="shared" si="119"/>
        <v>0</v>
      </c>
      <c r="AD95" s="54">
        <f t="shared" si="120"/>
        <v>0</v>
      </c>
      <c r="AE95" s="54">
        <f t="shared" si="121"/>
        <v>0</v>
      </c>
      <c r="AF95" s="54">
        <f t="shared" si="122"/>
        <v>0</v>
      </c>
      <c r="AG95" s="54">
        <f t="shared" si="123"/>
        <v>0</v>
      </c>
      <c r="AH95" s="54">
        <f t="shared" si="124"/>
        <v>0</v>
      </c>
      <c r="AI95" s="34" t="s">
        <v>291</v>
      </c>
      <c r="AJ95" s="54">
        <f t="shared" si="125"/>
        <v>0</v>
      </c>
      <c r="AK95" s="54">
        <f t="shared" si="126"/>
        <v>0</v>
      </c>
      <c r="AL95" s="54">
        <f t="shared" si="127"/>
        <v>0</v>
      </c>
      <c r="AN95" s="54">
        <v>21</v>
      </c>
      <c r="AO95" s="54">
        <f t="shared" si="128"/>
        <v>0</v>
      </c>
      <c r="AP95" s="54">
        <f t="shared" si="129"/>
        <v>0</v>
      </c>
      <c r="AQ95" s="57" t="s">
        <v>194</v>
      </c>
      <c r="AV95" s="54">
        <f t="shared" si="130"/>
        <v>0</v>
      </c>
      <c r="AW95" s="54">
        <f t="shared" si="131"/>
        <v>0</v>
      </c>
      <c r="AX95" s="54">
        <f t="shared" si="132"/>
        <v>0</v>
      </c>
      <c r="AY95" s="57" t="s">
        <v>195</v>
      </c>
      <c r="AZ95" s="57" t="s">
        <v>314</v>
      </c>
      <c r="BA95" s="34" t="s">
        <v>294</v>
      </c>
      <c r="BC95" s="54">
        <f t="shared" si="133"/>
        <v>0</v>
      </c>
      <c r="BD95" s="54">
        <f t="shared" si="134"/>
        <v>0</v>
      </c>
      <c r="BE95" s="54">
        <v>0</v>
      </c>
      <c r="BF95" s="54">
        <f>95</f>
        <v>95</v>
      </c>
      <c r="BH95" s="54">
        <f t="shared" si="135"/>
        <v>0</v>
      </c>
      <c r="BI95" s="54">
        <f t="shared" si="136"/>
        <v>0</v>
      </c>
      <c r="BJ95" s="54">
        <f t="shared" si="137"/>
        <v>0</v>
      </c>
      <c r="BK95" s="57" t="s">
        <v>190</v>
      </c>
      <c r="BL95" s="54"/>
      <c r="BW95" s="54">
        <v>21</v>
      </c>
      <c r="BX95" s="3" t="s">
        <v>282</v>
      </c>
    </row>
    <row r="96" spans="1:76" x14ac:dyDescent="0.25">
      <c r="A96" s="1" t="s">
        <v>322</v>
      </c>
      <c r="B96" s="2" t="s">
        <v>268</v>
      </c>
      <c r="C96" s="83" t="s">
        <v>323</v>
      </c>
      <c r="D96" s="78"/>
      <c r="E96" s="2" t="s">
        <v>214</v>
      </c>
      <c r="F96" s="54">
        <v>4</v>
      </c>
      <c r="G96" s="55">
        <v>0</v>
      </c>
      <c r="H96" s="54">
        <f t="shared" si="114"/>
        <v>0</v>
      </c>
      <c r="I96" s="54">
        <f t="shared" si="115"/>
        <v>0</v>
      </c>
      <c r="J96" s="54">
        <f t="shared" si="116"/>
        <v>0</v>
      </c>
      <c r="K96" s="56" t="s">
        <v>4</v>
      </c>
      <c r="Z96" s="54">
        <f t="shared" si="117"/>
        <v>0</v>
      </c>
      <c r="AB96" s="54">
        <f t="shared" si="118"/>
        <v>0</v>
      </c>
      <c r="AC96" s="54">
        <f t="shared" si="119"/>
        <v>0</v>
      </c>
      <c r="AD96" s="54">
        <f t="shared" si="120"/>
        <v>0</v>
      </c>
      <c r="AE96" s="54">
        <f t="shared" si="121"/>
        <v>0</v>
      </c>
      <c r="AF96" s="54">
        <f t="shared" si="122"/>
        <v>0</v>
      </c>
      <c r="AG96" s="54">
        <f t="shared" si="123"/>
        <v>0</v>
      </c>
      <c r="AH96" s="54">
        <f t="shared" si="124"/>
        <v>0</v>
      </c>
      <c r="AI96" s="34" t="s">
        <v>291</v>
      </c>
      <c r="AJ96" s="54">
        <f t="shared" si="125"/>
        <v>0</v>
      </c>
      <c r="AK96" s="54">
        <f t="shared" si="126"/>
        <v>0</v>
      </c>
      <c r="AL96" s="54">
        <f t="shared" si="127"/>
        <v>0</v>
      </c>
      <c r="AN96" s="54">
        <v>21</v>
      </c>
      <c r="AO96" s="54">
        <f t="shared" si="128"/>
        <v>0</v>
      </c>
      <c r="AP96" s="54">
        <f t="shared" si="129"/>
        <v>0</v>
      </c>
      <c r="AQ96" s="57" t="s">
        <v>194</v>
      </c>
      <c r="AV96" s="54">
        <f t="shared" si="130"/>
        <v>0</v>
      </c>
      <c r="AW96" s="54">
        <f t="shared" si="131"/>
        <v>0</v>
      </c>
      <c r="AX96" s="54">
        <f t="shared" si="132"/>
        <v>0</v>
      </c>
      <c r="AY96" s="57" t="s">
        <v>195</v>
      </c>
      <c r="AZ96" s="57" t="s">
        <v>314</v>
      </c>
      <c r="BA96" s="34" t="s">
        <v>294</v>
      </c>
      <c r="BC96" s="54">
        <f t="shared" si="133"/>
        <v>0</v>
      </c>
      <c r="BD96" s="54">
        <f t="shared" si="134"/>
        <v>0</v>
      </c>
      <c r="BE96" s="54">
        <v>0</v>
      </c>
      <c r="BF96" s="54">
        <f>96</f>
        <v>96</v>
      </c>
      <c r="BH96" s="54">
        <f t="shared" si="135"/>
        <v>0</v>
      </c>
      <c r="BI96" s="54">
        <f t="shared" si="136"/>
        <v>0</v>
      </c>
      <c r="BJ96" s="54">
        <f t="shared" si="137"/>
        <v>0</v>
      </c>
      <c r="BK96" s="57" t="s">
        <v>190</v>
      </c>
      <c r="BL96" s="54"/>
      <c r="BW96" s="54">
        <v>21</v>
      </c>
      <c r="BX96" s="3" t="s">
        <v>323</v>
      </c>
    </row>
    <row r="97" spans="1:76" x14ac:dyDescent="0.25">
      <c r="A97" s="1" t="s">
        <v>324</v>
      </c>
      <c r="B97" s="2" t="s">
        <v>268</v>
      </c>
      <c r="C97" s="83" t="s">
        <v>269</v>
      </c>
      <c r="D97" s="78"/>
      <c r="E97" s="2" t="s">
        <v>214</v>
      </c>
      <c r="F97" s="54">
        <v>3</v>
      </c>
      <c r="G97" s="55">
        <v>0</v>
      </c>
      <c r="H97" s="54">
        <f t="shared" si="114"/>
        <v>0</v>
      </c>
      <c r="I97" s="54">
        <f t="shared" si="115"/>
        <v>0</v>
      </c>
      <c r="J97" s="54">
        <f t="shared" si="116"/>
        <v>0</v>
      </c>
      <c r="K97" s="56" t="s">
        <v>4</v>
      </c>
      <c r="Z97" s="54">
        <f t="shared" si="117"/>
        <v>0</v>
      </c>
      <c r="AB97" s="54">
        <f t="shared" si="118"/>
        <v>0</v>
      </c>
      <c r="AC97" s="54">
        <f t="shared" si="119"/>
        <v>0</v>
      </c>
      <c r="AD97" s="54">
        <f t="shared" si="120"/>
        <v>0</v>
      </c>
      <c r="AE97" s="54">
        <f t="shared" si="121"/>
        <v>0</v>
      </c>
      <c r="AF97" s="54">
        <f t="shared" si="122"/>
        <v>0</v>
      </c>
      <c r="AG97" s="54">
        <f t="shared" si="123"/>
        <v>0</v>
      </c>
      <c r="AH97" s="54">
        <f t="shared" si="124"/>
        <v>0</v>
      </c>
      <c r="AI97" s="34" t="s">
        <v>291</v>
      </c>
      <c r="AJ97" s="54">
        <f t="shared" si="125"/>
        <v>0</v>
      </c>
      <c r="AK97" s="54">
        <f t="shared" si="126"/>
        <v>0</v>
      </c>
      <c r="AL97" s="54">
        <f t="shared" si="127"/>
        <v>0</v>
      </c>
      <c r="AN97" s="54">
        <v>21</v>
      </c>
      <c r="AO97" s="54">
        <f t="shared" si="128"/>
        <v>0</v>
      </c>
      <c r="AP97" s="54">
        <f t="shared" si="129"/>
        <v>0</v>
      </c>
      <c r="AQ97" s="57" t="s">
        <v>194</v>
      </c>
      <c r="AV97" s="54">
        <f t="shared" si="130"/>
        <v>0</v>
      </c>
      <c r="AW97" s="54">
        <f t="shared" si="131"/>
        <v>0</v>
      </c>
      <c r="AX97" s="54">
        <f t="shared" si="132"/>
        <v>0</v>
      </c>
      <c r="AY97" s="57" t="s">
        <v>195</v>
      </c>
      <c r="AZ97" s="57" t="s">
        <v>314</v>
      </c>
      <c r="BA97" s="34" t="s">
        <v>294</v>
      </c>
      <c r="BC97" s="54">
        <f t="shared" si="133"/>
        <v>0</v>
      </c>
      <c r="BD97" s="54">
        <f t="shared" si="134"/>
        <v>0</v>
      </c>
      <c r="BE97" s="54">
        <v>0</v>
      </c>
      <c r="BF97" s="54">
        <f>97</f>
        <v>97</v>
      </c>
      <c r="BH97" s="54">
        <f t="shared" si="135"/>
        <v>0</v>
      </c>
      <c r="BI97" s="54">
        <f t="shared" si="136"/>
        <v>0</v>
      </c>
      <c r="BJ97" s="54">
        <f t="shared" si="137"/>
        <v>0</v>
      </c>
      <c r="BK97" s="57" t="s">
        <v>190</v>
      </c>
      <c r="BL97" s="54"/>
      <c r="BW97" s="54">
        <v>21</v>
      </c>
      <c r="BX97" s="3" t="s">
        <v>269</v>
      </c>
    </row>
    <row r="98" spans="1:76" x14ac:dyDescent="0.25">
      <c r="A98" s="1" t="s">
        <v>325</v>
      </c>
      <c r="B98" s="2" t="s">
        <v>192</v>
      </c>
      <c r="C98" s="83" t="s">
        <v>193</v>
      </c>
      <c r="D98" s="78"/>
      <c r="E98" s="2" t="s">
        <v>136</v>
      </c>
      <c r="F98" s="54">
        <v>0.12</v>
      </c>
      <c r="G98" s="55">
        <v>0</v>
      </c>
      <c r="H98" s="54">
        <f t="shared" si="114"/>
        <v>0</v>
      </c>
      <c r="I98" s="54">
        <f t="shared" si="115"/>
        <v>0</v>
      </c>
      <c r="J98" s="54">
        <f t="shared" si="116"/>
        <v>0</v>
      </c>
      <c r="K98" s="56" t="s">
        <v>120</v>
      </c>
      <c r="Z98" s="54">
        <f t="shared" si="117"/>
        <v>0</v>
      </c>
      <c r="AB98" s="54">
        <f t="shared" si="118"/>
        <v>0</v>
      </c>
      <c r="AC98" s="54">
        <f t="shared" si="119"/>
        <v>0</v>
      </c>
      <c r="AD98" s="54">
        <f t="shared" si="120"/>
        <v>0</v>
      </c>
      <c r="AE98" s="54">
        <f t="shared" si="121"/>
        <v>0</v>
      </c>
      <c r="AF98" s="54">
        <f t="shared" si="122"/>
        <v>0</v>
      </c>
      <c r="AG98" s="54">
        <f t="shared" si="123"/>
        <v>0</v>
      </c>
      <c r="AH98" s="54">
        <f t="shared" si="124"/>
        <v>0</v>
      </c>
      <c r="AI98" s="34" t="s">
        <v>291</v>
      </c>
      <c r="AJ98" s="54">
        <f t="shared" si="125"/>
        <v>0</v>
      </c>
      <c r="AK98" s="54">
        <f t="shared" si="126"/>
        <v>0</v>
      </c>
      <c r="AL98" s="54">
        <f t="shared" si="127"/>
        <v>0</v>
      </c>
      <c r="AN98" s="54">
        <v>21</v>
      </c>
      <c r="AO98" s="54">
        <f t="shared" si="128"/>
        <v>0</v>
      </c>
      <c r="AP98" s="54">
        <f t="shared" si="129"/>
        <v>0</v>
      </c>
      <c r="AQ98" s="57" t="s">
        <v>194</v>
      </c>
      <c r="AV98" s="54">
        <f t="shared" si="130"/>
        <v>0</v>
      </c>
      <c r="AW98" s="54">
        <f t="shared" si="131"/>
        <v>0</v>
      </c>
      <c r="AX98" s="54">
        <f t="shared" si="132"/>
        <v>0</v>
      </c>
      <c r="AY98" s="57" t="s">
        <v>195</v>
      </c>
      <c r="AZ98" s="57" t="s">
        <v>314</v>
      </c>
      <c r="BA98" s="34" t="s">
        <v>294</v>
      </c>
      <c r="BC98" s="54">
        <f t="shared" si="133"/>
        <v>0</v>
      </c>
      <c r="BD98" s="54">
        <f t="shared" si="134"/>
        <v>0</v>
      </c>
      <c r="BE98" s="54">
        <v>0</v>
      </c>
      <c r="BF98" s="54">
        <f>98</f>
        <v>98</v>
      </c>
      <c r="BH98" s="54">
        <f t="shared" si="135"/>
        <v>0</v>
      </c>
      <c r="BI98" s="54">
        <f t="shared" si="136"/>
        <v>0</v>
      </c>
      <c r="BJ98" s="54">
        <f t="shared" si="137"/>
        <v>0</v>
      </c>
      <c r="BK98" s="57" t="s">
        <v>190</v>
      </c>
      <c r="BL98" s="54"/>
      <c r="BW98" s="54">
        <v>21</v>
      </c>
      <c r="BX98" s="3" t="s">
        <v>193</v>
      </c>
    </row>
    <row r="99" spans="1:76" x14ac:dyDescent="0.25">
      <c r="A99" s="60" t="s">
        <v>4</v>
      </c>
      <c r="B99" s="61" t="s">
        <v>4</v>
      </c>
      <c r="C99" s="167" t="s">
        <v>326</v>
      </c>
      <c r="D99" s="168"/>
      <c r="E99" s="62" t="s">
        <v>69</v>
      </c>
      <c r="F99" s="62" t="s">
        <v>69</v>
      </c>
      <c r="G99" s="52" t="s">
        <v>69</v>
      </c>
      <c r="H99" s="63">
        <f>H100+H110+H112</f>
        <v>0</v>
      </c>
      <c r="I99" s="63">
        <f>I100+I110+I112</f>
        <v>0</v>
      </c>
      <c r="J99" s="63">
        <f>J100+J110+J112</f>
        <v>0</v>
      </c>
      <c r="K99" s="64" t="s">
        <v>4</v>
      </c>
    </row>
    <row r="100" spans="1:76" x14ac:dyDescent="0.25">
      <c r="A100" s="49" t="s">
        <v>4</v>
      </c>
      <c r="B100" s="50" t="s">
        <v>182</v>
      </c>
      <c r="C100" s="161" t="s">
        <v>232</v>
      </c>
      <c r="D100" s="162"/>
      <c r="E100" s="51" t="s">
        <v>69</v>
      </c>
      <c r="F100" s="51" t="s">
        <v>69</v>
      </c>
      <c r="G100" s="52" t="s">
        <v>69</v>
      </c>
      <c r="H100" s="28">
        <f>SUM(H101:H109)</f>
        <v>0</v>
      </c>
      <c r="I100" s="28">
        <f>SUM(I101:I109)</f>
        <v>0</v>
      </c>
      <c r="J100" s="28">
        <f>SUM(J101:J109)</f>
        <v>0</v>
      </c>
      <c r="K100" s="53" t="s">
        <v>4</v>
      </c>
      <c r="AI100" s="34" t="s">
        <v>327</v>
      </c>
      <c r="AS100" s="28">
        <f>SUM(AJ101:AJ109)</f>
        <v>0</v>
      </c>
      <c r="AT100" s="28">
        <f>SUM(AK101:AK109)</f>
        <v>0</v>
      </c>
      <c r="AU100" s="28">
        <f>SUM(AL101:AL109)</f>
        <v>0</v>
      </c>
    </row>
    <row r="101" spans="1:76" x14ac:dyDescent="0.25">
      <c r="A101" s="1" t="s">
        <v>328</v>
      </c>
      <c r="B101" s="2" t="s">
        <v>329</v>
      </c>
      <c r="C101" s="83" t="s">
        <v>330</v>
      </c>
      <c r="D101" s="78"/>
      <c r="E101" s="2" t="s">
        <v>119</v>
      </c>
      <c r="F101" s="54">
        <v>192</v>
      </c>
      <c r="G101" s="55">
        <v>0</v>
      </c>
      <c r="H101" s="54">
        <f t="shared" ref="H101:H109" si="138">ROUND(F101*AO101,2)</f>
        <v>0</v>
      </c>
      <c r="I101" s="54">
        <f t="shared" ref="I101:I109" si="139">ROUND(F101*AP101,2)</f>
        <v>0</v>
      </c>
      <c r="J101" s="54">
        <f t="shared" ref="J101:J109" si="140">ROUND(F101*G101,2)</f>
        <v>0</v>
      </c>
      <c r="K101" s="56" t="s">
        <v>120</v>
      </c>
      <c r="Z101" s="54">
        <f t="shared" ref="Z101:Z109" si="141">ROUND(IF(AQ101="5",BJ101,0),2)</f>
        <v>0</v>
      </c>
      <c r="AB101" s="54">
        <f t="shared" ref="AB101:AB109" si="142">ROUND(IF(AQ101="1",BH101,0),2)</f>
        <v>0</v>
      </c>
      <c r="AC101" s="54">
        <f t="shared" ref="AC101:AC109" si="143">ROUND(IF(AQ101="1",BI101,0),2)</f>
        <v>0</v>
      </c>
      <c r="AD101" s="54">
        <f t="shared" ref="AD101:AD109" si="144">ROUND(IF(AQ101="7",BH101,0),2)</f>
        <v>0</v>
      </c>
      <c r="AE101" s="54">
        <f t="shared" ref="AE101:AE109" si="145">ROUND(IF(AQ101="7",BI101,0),2)</f>
        <v>0</v>
      </c>
      <c r="AF101" s="54">
        <f t="shared" ref="AF101:AF109" si="146">ROUND(IF(AQ101="2",BH101,0),2)</f>
        <v>0</v>
      </c>
      <c r="AG101" s="54">
        <f t="shared" ref="AG101:AG109" si="147">ROUND(IF(AQ101="2",BI101,0),2)</f>
        <v>0</v>
      </c>
      <c r="AH101" s="54">
        <f t="shared" ref="AH101:AH109" si="148">ROUND(IF(AQ101="0",BJ101,0),2)</f>
        <v>0</v>
      </c>
      <c r="AI101" s="34" t="s">
        <v>327</v>
      </c>
      <c r="AJ101" s="54">
        <f t="shared" ref="AJ101:AJ109" si="149">IF(AN101=0,J101,0)</f>
        <v>0</v>
      </c>
      <c r="AK101" s="54">
        <f t="shared" ref="AK101:AK109" si="150">IF(AN101=0,J101,0)</f>
        <v>0</v>
      </c>
      <c r="AL101" s="54">
        <f t="shared" ref="AL101:AL109" si="151">IF(AN101=21,J101,0)</f>
        <v>0</v>
      </c>
      <c r="AN101" s="54">
        <v>21</v>
      </c>
      <c r="AO101" s="54">
        <f>G101*0.006557377</f>
        <v>0</v>
      </c>
      <c r="AP101" s="54">
        <f>G101*(1-0.006557377)</f>
        <v>0</v>
      </c>
      <c r="AQ101" s="57" t="s">
        <v>108</v>
      </c>
      <c r="AV101" s="54">
        <f t="shared" ref="AV101:AV109" si="152">ROUND(AW101+AX101,2)</f>
        <v>0</v>
      </c>
      <c r="AW101" s="54">
        <f t="shared" ref="AW101:AW109" si="153">ROUND(F101*AO101,2)</f>
        <v>0</v>
      </c>
      <c r="AX101" s="54">
        <f t="shared" ref="AX101:AX109" si="154">ROUND(F101*AP101,2)</f>
        <v>0</v>
      </c>
      <c r="AY101" s="57" t="s">
        <v>236</v>
      </c>
      <c r="AZ101" s="57" t="s">
        <v>331</v>
      </c>
      <c r="BA101" s="34" t="s">
        <v>332</v>
      </c>
      <c r="BC101" s="54">
        <f t="shared" ref="BC101:BC109" si="155">AW101+AX101</f>
        <v>0</v>
      </c>
      <c r="BD101" s="54">
        <f t="shared" ref="BD101:BD109" si="156">G101/(100-BE101)*100</f>
        <v>0</v>
      </c>
      <c r="BE101" s="54">
        <v>0</v>
      </c>
      <c r="BF101" s="54">
        <f>101</f>
        <v>101</v>
      </c>
      <c r="BH101" s="54">
        <f t="shared" ref="BH101:BH109" si="157">F101*AO101</f>
        <v>0</v>
      </c>
      <c r="BI101" s="54">
        <f t="shared" ref="BI101:BI109" si="158">F101*AP101</f>
        <v>0</v>
      </c>
      <c r="BJ101" s="54">
        <f t="shared" ref="BJ101:BJ109" si="159">F101*G101</f>
        <v>0</v>
      </c>
      <c r="BK101" s="57" t="s">
        <v>115</v>
      </c>
      <c r="BL101" s="54">
        <v>18</v>
      </c>
      <c r="BW101" s="54">
        <v>21</v>
      </c>
      <c r="BX101" s="3" t="s">
        <v>330</v>
      </c>
    </row>
    <row r="102" spans="1:76" x14ac:dyDescent="0.25">
      <c r="A102" s="1" t="s">
        <v>333</v>
      </c>
      <c r="B102" s="2" t="s">
        <v>334</v>
      </c>
      <c r="C102" s="83" t="s">
        <v>335</v>
      </c>
      <c r="D102" s="78"/>
      <c r="E102" s="2" t="s">
        <v>119</v>
      </c>
      <c r="F102" s="54">
        <v>192</v>
      </c>
      <c r="G102" s="55">
        <v>0</v>
      </c>
      <c r="H102" s="54">
        <f t="shared" si="138"/>
        <v>0</v>
      </c>
      <c r="I102" s="54">
        <f t="shared" si="139"/>
        <v>0</v>
      </c>
      <c r="J102" s="54">
        <f t="shared" si="140"/>
        <v>0</v>
      </c>
      <c r="K102" s="56" t="s">
        <v>120</v>
      </c>
      <c r="Z102" s="54">
        <f t="shared" si="141"/>
        <v>0</v>
      </c>
      <c r="AB102" s="54">
        <f t="shared" si="142"/>
        <v>0</v>
      </c>
      <c r="AC102" s="54">
        <f t="shared" si="143"/>
        <v>0</v>
      </c>
      <c r="AD102" s="54">
        <f t="shared" si="144"/>
        <v>0</v>
      </c>
      <c r="AE102" s="54">
        <f t="shared" si="145"/>
        <v>0</v>
      </c>
      <c r="AF102" s="54">
        <f t="shared" si="146"/>
        <v>0</v>
      </c>
      <c r="AG102" s="54">
        <f t="shared" si="147"/>
        <v>0</v>
      </c>
      <c r="AH102" s="54">
        <f t="shared" si="148"/>
        <v>0</v>
      </c>
      <c r="AI102" s="34" t="s">
        <v>327</v>
      </c>
      <c r="AJ102" s="54">
        <f t="shared" si="149"/>
        <v>0</v>
      </c>
      <c r="AK102" s="54">
        <f t="shared" si="150"/>
        <v>0</v>
      </c>
      <c r="AL102" s="54">
        <f t="shared" si="151"/>
        <v>0</v>
      </c>
      <c r="AN102" s="54">
        <v>21</v>
      </c>
      <c r="AO102" s="54">
        <f>G102*0</f>
        <v>0</v>
      </c>
      <c r="AP102" s="54">
        <f>G102*(1-0)</f>
        <v>0</v>
      </c>
      <c r="AQ102" s="57" t="s">
        <v>108</v>
      </c>
      <c r="AV102" s="54">
        <f t="shared" si="152"/>
        <v>0</v>
      </c>
      <c r="AW102" s="54">
        <f t="shared" si="153"/>
        <v>0</v>
      </c>
      <c r="AX102" s="54">
        <f t="shared" si="154"/>
        <v>0</v>
      </c>
      <c r="AY102" s="57" t="s">
        <v>236</v>
      </c>
      <c r="AZ102" s="57" t="s">
        <v>331</v>
      </c>
      <c r="BA102" s="34" t="s">
        <v>332</v>
      </c>
      <c r="BC102" s="54">
        <f t="shared" si="155"/>
        <v>0</v>
      </c>
      <c r="BD102" s="54">
        <f t="shared" si="156"/>
        <v>0</v>
      </c>
      <c r="BE102" s="54">
        <v>0</v>
      </c>
      <c r="BF102" s="54">
        <f>102</f>
        <v>102</v>
      </c>
      <c r="BH102" s="54">
        <f t="shared" si="157"/>
        <v>0</v>
      </c>
      <c r="BI102" s="54">
        <f t="shared" si="158"/>
        <v>0</v>
      </c>
      <c r="BJ102" s="54">
        <f t="shared" si="159"/>
        <v>0</v>
      </c>
      <c r="BK102" s="57" t="s">
        <v>115</v>
      </c>
      <c r="BL102" s="54">
        <v>18</v>
      </c>
      <c r="BW102" s="54">
        <v>21</v>
      </c>
      <c r="BX102" s="3" t="s">
        <v>335</v>
      </c>
    </row>
    <row r="103" spans="1:76" x14ac:dyDescent="0.25">
      <c r="A103" s="1" t="s">
        <v>336</v>
      </c>
      <c r="B103" s="2" t="s">
        <v>337</v>
      </c>
      <c r="C103" s="83" t="s">
        <v>338</v>
      </c>
      <c r="D103" s="78"/>
      <c r="E103" s="2" t="s">
        <v>119</v>
      </c>
      <c r="F103" s="54">
        <v>192</v>
      </c>
      <c r="G103" s="55">
        <v>0</v>
      </c>
      <c r="H103" s="54">
        <f t="shared" si="138"/>
        <v>0</v>
      </c>
      <c r="I103" s="54">
        <f t="shared" si="139"/>
        <v>0</v>
      </c>
      <c r="J103" s="54">
        <f t="shared" si="140"/>
        <v>0</v>
      </c>
      <c r="K103" s="56" t="s">
        <v>120</v>
      </c>
      <c r="Z103" s="54">
        <f t="shared" si="141"/>
        <v>0</v>
      </c>
      <c r="AB103" s="54">
        <f t="shared" si="142"/>
        <v>0</v>
      </c>
      <c r="AC103" s="54">
        <f t="shared" si="143"/>
        <v>0</v>
      </c>
      <c r="AD103" s="54">
        <f t="shared" si="144"/>
        <v>0</v>
      </c>
      <c r="AE103" s="54">
        <f t="shared" si="145"/>
        <v>0</v>
      </c>
      <c r="AF103" s="54">
        <f t="shared" si="146"/>
        <v>0</v>
      </c>
      <c r="AG103" s="54">
        <f t="shared" si="147"/>
        <v>0</v>
      </c>
      <c r="AH103" s="54">
        <f t="shared" si="148"/>
        <v>0</v>
      </c>
      <c r="AI103" s="34" t="s">
        <v>327</v>
      </c>
      <c r="AJ103" s="54">
        <f t="shared" si="149"/>
        <v>0</v>
      </c>
      <c r="AK103" s="54">
        <f t="shared" si="150"/>
        <v>0</v>
      </c>
      <c r="AL103" s="54">
        <f t="shared" si="151"/>
        <v>0</v>
      </c>
      <c r="AN103" s="54">
        <v>21</v>
      </c>
      <c r="AO103" s="54">
        <f>G103*0</f>
        <v>0</v>
      </c>
      <c r="AP103" s="54">
        <f>G103*(1-0)</f>
        <v>0</v>
      </c>
      <c r="AQ103" s="57" t="s">
        <v>108</v>
      </c>
      <c r="AV103" s="54">
        <f t="shared" si="152"/>
        <v>0</v>
      </c>
      <c r="AW103" s="54">
        <f t="shared" si="153"/>
        <v>0</v>
      </c>
      <c r="AX103" s="54">
        <f t="shared" si="154"/>
        <v>0</v>
      </c>
      <c r="AY103" s="57" t="s">
        <v>236</v>
      </c>
      <c r="AZ103" s="57" t="s">
        <v>331</v>
      </c>
      <c r="BA103" s="34" t="s">
        <v>332</v>
      </c>
      <c r="BC103" s="54">
        <f t="shared" si="155"/>
        <v>0</v>
      </c>
      <c r="BD103" s="54">
        <f t="shared" si="156"/>
        <v>0</v>
      </c>
      <c r="BE103" s="54">
        <v>0</v>
      </c>
      <c r="BF103" s="54">
        <f>103</f>
        <v>103</v>
      </c>
      <c r="BH103" s="54">
        <f t="shared" si="157"/>
        <v>0</v>
      </c>
      <c r="BI103" s="54">
        <f t="shared" si="158"/>
        <v>0</v>
      </c>
      <c r="BJ103" s="54">
        <f t="shared" si="159"/>
        <v>0</v>
      </c>
      <c r="BK103" s="57" t="s">
        <v>115</v>
      </c>
      <c r="BL103" s="54">
        <v>18</v>
      </c>
      <c r="BW103" s="54">
        <v>21</v>
      </c>
      <c r="BX103" s="3" t="s">
        <v>338</v>
      </c>
    </row>
    <row r="104" spans="1:76" x14ac:dyDescent="0.25">
      <c r="A104" s="1" t="s">
        <v>339</v>
      </c>
      <c r="B104" s="2" t="s">
        <v>340</v>
      </c>
      <c r="C104" s="83" t="s">
        <v>341</v>
      </c>
      <c r="D104" s="78"/>
      <c r="E104" s="2" t="s">
        <v>111</v>
      </c>
      <c r="F104" s="54">
        <v>997</v>
      </c>
      <c r="G104" s="55">
        <v>0</v>
      </c>
      <c r="H104" s="54">
        <f t="shared" si="138"/>
        <v>0</v>
      </c>
      <c r="I104" s="54">
        <f t="shared" si="139"/>
        <v>0</v>
      </c>
      <c r="J104" s="54">
        <f t="shared" si="140"/>
        <v>0</v>
      </c>
      <c r="K104" s="56" t="s">
        <v>120</v>
      </c>
      <c r="Z104" s="54">
        <f t="shared" si="141"/>
        <v>0</v>
      </c>
      <c r="AB104" s="54">
        <f t="shared" si="142"/>
        <v>0</v>
      </c>
      <c r="AC104" s="54">
        <f t="shared" si="143"/>
        <v>0</v>
      </c>
      <c r="AD104" s="54">
        <f t="shared" si="144"/>
        <v>0</v>
      </c>
      <c r="AE104" s="54">
        <f t="shared" si="145"/>
        <v>0</v>
      </c>
      <c r="AF104" s="54">
        <f t="shared" si="146"/>
        <v>0</v>
      </c>
      <c r="AG104" s="54">
        <f t="shared" si="147"/>
        <v>0</v>
      </c>
      <c r="AH104" s="54">
        <f t="shared" si="148"/>
        <v>0</v>
      </c>
      <c r="AI104" s="34" t="s">
        <v>327</v>
      </c>
      <c r="AJ104" s="54">
        <f t="shared" si="149"/>
        <v>0</v>
      </c>
      <c r="AK104" s="54">
        <f t="shared" si="150"/>
        <v>0</v>
      </c>
      <c r="AL104" s="54">
        <f t="shared" si="151"/>
        <v>0</v>
      </c>
      <c r="AN104" s="54">
        <v>21</v>
      </c>
      <c r="AO104" s="54">
        <f>G104*0</f>
        <v>0</v>
      </c>
      <c r="AP104" s="54">
        <f>G104*(1-0)</f>
        <v>0</v>
      </c>
      <c r="AQ104" s="57" t="s">
        <v>108</v>
      </c>
      <c r="AV104" s="54">
        <f t="shared" si="152"/>
        <v>0</v>
      </c>
      <c r="AW104" s="54">
        <f t="shared" si="153"/>
        <v>0</v>
      </c>
      <c r="AX104" s="54">
        <f t="shared" si="154"/>
        <v>0</v>
      </c>
      <c r="AY104" s="57" t="s">
        <v>236</v>
      </c>
      <c r="AZ104" s="57" t="s">
        <v>331</v>
      </c>
      <c r="BA104" s="34" t="s">
        <v>332</v>
      </c>
      <c r="BC104" s="54">
        <f t="shared" si="155"/>
        <v>0</v>
      </c>
      <c r="BD104" s="54">
        <f t="shared" si="156"/>
        <v>0</v>
      </c>
      <c r="BE104" s="54">
        <v>0</v>
      </c>
      <c r="BF104" s="54">
        <f>104</f>
        <v>104</v>
      </c>
      <c r="BH104" s="54">
        <f t="shared" si="157"/>
        <v>0</v>
      </c>
      <c r="BI104" s="54">
        <f t="shared" si="158"/>
        <v>0</v>
      </c>
      <c r="BJ104" s="54">
        <f t="shared" si="159"/>
        <v>0</v>
      </c>
      <c r="BK104" s="57" t="s">
        <v>115</v>
      </c>
      <c r="BL104" s="54">
        <v>18</v>
      </c>
      <c r="BW104" s="54">
        <v>21</v>
      </c>
      <c r="BX104" s="3" t="s">
        <v>341</v>
      </c>
    </row>
    <row r="105" spans="1:76" x14ac:dyDescent="0.25">
      <c r="A105" s="1" t="s">
        <v>342</v>
      </c>
      <c r="B105" s="2" t="s">
        <v>343</v>
      </c>
      <c r="C105" s="83" t="s">
        <v>344</v>
      </c>
      <c r="D105" s="78"/>
      <c r="E105" s="2" t="s">
        <v>111</v>
      </c>
      <c r="F105" s="54">
        <v>997</v>
      </c>
      <c r="G105" s="55">
        <v>0</v>
      </c>
      <c r="H105" s="54">
        <f t="shared" si="138"/>
        <v>0</v>
      </c>
      <c r="I105" s="54">
        <f t="shared" si="139"/>
        <v>0</v>
      </c>
      <c r="J105" s="54">
        <f t="shared" si="140"/>
        <v>0</v>
      </c>
      <c r="K105" s="56" t="s">
        <v>120</v>
      </c>
      <c r="Z105" s="54">
        <f t="shared" si="141"/>
        <v>0</v>
      </c>
      <c r="AB105" s="54">
        <f t="shared" si="142"/>
        <v>0</v>
      </c>
      <c r="AC105" s="54">
        <f t="shared" si="143"/>
        <v>0</v>
      </c>
      <c r="AD105" s="54">
        <f t="shared" si="144"/>
        <v>0</v>
      </c>
      <c r="AE105" s="54">
        <f t="shared" si="145"/>
        <v>0</v>
      </c>
      <c r="AF105" s="54">
        <f t="shared" si="146"/>
        <v>0</v>
      </c>
      <c r="AG105" s="54">
        <f t="shared" si="147"/>
        <v>0</v>
      </c>
      <c r="AH105" s="54">
        <f t="shared" si="148"/>
        <v>0</v>
      </c>
      <c r="AI105" s="34" t="s">
        <v>327</v>
      </c>
      <c r="AJ105" s="54">
        <f t="shared" si="149"/>
        <v>0</v>
      </c>
      <c r="AK105" s="54">
        <f t="shared" si="150"/>
        <v>0</v>
      </c>
      <c r="AL105" s="54">
        <f t="shared" si="151"/>
        <v>0</v>
      </c>
      <c r="AN105" s="54">
        <v>21</v>
      </c>
      <c r="AO105" s="54">
        <f>G105*0.009667025</f>
        <v>0</v>
      </c>
      <c r="AP105" s="54">
        <f>G105*(1-0.009667025)</f>
        <v>0</v>
      </c>
      <c r="AQ105" s="57" t="s">
        <v>108</v>
      </c>
      <c r="AV105" s="54">
        <f t="shared" si="152"/>
        <v>0</v>
      </c>
      <c r="AW105" s="54">
        <f t="shared" si="153"/>
        <v>0</v>
      </c>
      <c r="AX105" s="54">
        <f t="shared" si="154"/>
        <v>0</v>
      </c>
      <c r="AY105" s="57" t="s">
        <v>236</v>
      </c>
      <c r="AZ105" s="57" t="s">
        <v>331</v>
      </c>
      <c r="BA105" s="34" t="s">
        <v>332</v>
      </c>
      <c r="BC105" s="54">
        <f t="shared" si="155"/>
        <v>0</v>
      </c>
      <c r="BD105" s="54">
        <f t="shared" si="156"/>
        <v>0</v>
      </c>
      <c r="BE105" s="54">
        <v>0</v>
      </c>
      <c r="BF105" s="54">
        <f>105</f>
        <v>105</v>
      </c>
      <c r="BH105" s="54">
        <f t="shared" si="157"/>
        <v>0</v>
      </c>
      <c r="BI105" s="54">
        <f t="shared" si="158"/>
        <v>0</v>
      </c>
      <c r="BJ105" s="54">
        <f t="shared" si="159"/>
        <v>0</v>
      </c>
      <c r="BK105" s="57" t="s">
        <v>115</v>
      </c>
      <c r="BL105" s="54">
        <v>18</v>
      </c>
      <c r="BW105" s="54">
        <v>21</v>
      </c>
      <c r="BX105" s="3" t="s">
        <v>344</v>
      </c>
    </row>
    <row r="106" spans="1:76" x14ac:dyDescent="0.25">
      <c r="A106" s="1" t="s">
        <v>345</v>
      </c>
      <c r="B106" s="2" t="s">
        <v>346</v>
      </c>
      <c r="C106" s="83" t="s">
        <v>347</v>
      </c>
      <c r="D106" s="78"/>
      <c r="E106" s="2" t="s">
        <v>111</v>
      </c>
      <c r="F106" s="54">
        <v>75</v>
      </c>
      <c r="G106" s="55">
        <v>0</v>
      </c>
      <c r="H106" s="54">
        <f t="shared" si="138"/>
        <v>0</v>
      </c>
      <c r="I106" s="54">
        <f t="shared" si="139"/>
        <v>0</v>
      </c>
      <c r="J106" s="54">
        <f t="shared" si="140"/>
        <v>0</v>
      </c>
      <c r="K106" s="56" t="s">
        <v>120</v>
      </c>
      <c r="Z106" s="54">
        <f t="shared" si="141"/>
        <v>0</v>
      </c>
      <c r="AB106" s="54">
        <f t="shared" si="142"/>
        <v>0</v>
      </c>
      <c r="AC106" s="54">
        <f t="shared" si="143"/>
        <v>0</v>
      </c>
      <c r="AD106" s="54">
        <f t="shared" si="144"/>
        <v>0</v>
      </c>
      <c r="AE106" s="54">
        <f t="shared" si="145"/>
        <v>0</v>
      </c>
      <c r="AF106" s="54">
        <f t="shared" si="146"/>
        <v>0</v>
      </c>
      <c r="AG106" s="54">
        <f t="shared" si="147"/>
        <v>0</v>
      </c>
      <c r="AH106" s="54">
        <f t="shared" si="148"/>
        <v>0</v>
      </c>
      <c r="AI106" s="34" t="s">
        <v>327</v>
      </c>
      <c r="AJ106" s="54">
        <f t="shared" si="149"/>
        <v>0</v>
      </c>
      <c r="AK106" s="54">
        <f t="shared" si="150"/>
        <v>0</v>
      </c>
      <c r="AL106" s="54">
        <f t="shared" si="151"/>
        <v>0</v>
      </c>
      <c r="AN106" s="54">
        <v>21</v>
      </c>
      <c r="AO106" s="54">
        <f>G106*0</f>
        <v>0</v>
      </c>
      <c r="AP106" s="54">
        <f>G106*(1-0)</f>
        <v>0</v>
      </c>
      <c r="AQ106" s="57" t="s">
        <v>108</v>
      </c>
      <c r="AV106" s="54">
        <f t="shared" si="152"/>
        <v>0</v>
      </c>
      <c r="AW106" s="54">
        <f t="shared" si="153"/>
        <v>0</v>
      </c>
      <c r="AX106" s="54">
        <f t="shared" si="154"/>
        <v>0</v>
      </c>
      <c r="AY106" s="57" t="s">
        <v>236</v>
      </c>
      <c r="AZ106" s="57" t="s">
        <v>331</v>
      </c>
      <c r="BA106" s="34" t="s">
        <v>332</v>
      </c>
      <c r="BC106" s="54">
        <f t="shared" si="155"/>
        <v>0</v>
      </c>
      <c r="BD106" s="54">
        <f t="shared" si="156"/>
        <v>0</v>
      </c>
      <c r="BE106" s="54">
        <v>0</v>
      </c>
      <c r="BF106" s="54">
        <f>106</f>
        <v>106</v>
      </c>
      <c r="BH106" s="54">
        <f t="shared" si="157"/>
        <v>0</v>
      </c>
      <c r="BI106" s="54">
        <f t="shared" si="158"/>
        <v>0</v>
      </c>
      <c r="BJ106" s="54">
        <f t="shared" si="159"/>
        <v>0</v>
      </c>
      <c r="BK106" s="57" t="s">
        <v>115</v>
      </c>
      <c r="BL106" s="54">
        <v>18</v>
      </c>
      <c r="BW106" s="54">
        <v>21</v>
      </c>
      <c r="BX106" s="3" t="s">
        <v>347</v>
      </c>
    </row>
    <row r="107" spans="1:76" x14ac:dyDescent="0.25">
      <c r="A107" s="1" t="s">
        <v>348</v>
      </c>
      <c r="B107" s="2" t="s">
        <v>349</v>
      </c>
      <c r="C107" s="83" t="s">
        <v>350</v>
      </c>
      <c r="D107" s="78"/>
      <c r="E107" s="2" t="s">
        <v>111</v>
      </c>
      <c r="F107" s="54">
        <v>75</v>
      </c>
      <c r="G107" s="55">
        <v>0</v>
      </c>
      <c r="H107" s="54">
        <f t="shared" si="138"/>
        <v>0</v>
      </c>
      <c r="I107" s="54">
        <f t="shared" si="139"/>
        <v>0</v>
      </c>
      <c r="J107" s="54">
        <f t="shared" si="140"/>
        <v>0</v>
      </c>
      <c r="K107" s="56" t="s">
        <v>120</v>
      </c>
      <c r="Z107" s="54">
        <f t="shared" si="141"/>
        <v>0</v>
      </c>
      <c r="AB107" s="54">
        <f t="shared" si="142"/>
        <v>0</v>
      </c>
      <c r="AC107" s="54">
        <f t="shared" si="143"/>
        <v>0</v>
      </c>
      <c r="AD107" s="54">
        <f t="shared" si="144"/>
        <v>0</v>
      </c>
      <c r="AE107" s="54">
        <f t="shared" si="145"/>
        <v>0</v>
      </c>
      <c r="AF107" s="54">
        <f t="shared" si="146"/>
        <v>0</v>
      </c>
      <c r="AG107" s="54">
        <f t="shared" si="147"/>
        <v>0</v>
      </c>
      <c r="AH107" s="54">
        <f t="shared" si="148"/>
        <v>0</v>
      </c>
      <c r="AI107" s="34" t="s">
        <v>327</v>
      </c>
      <c r="AJ107" s="54">
        <f t="shared" si="149"/>
        <v>0</v>
      </c>
      <c r="AK107" s="54">
        <f t="shared" si="150"/>
        <v>0</v>
      </c>
      <c r="AL107" s="54">
        <f t="shared" si="151"/>
        <v>0</v>
      </c>
      <c r="AN107" s="54">
        <v>21</v>
      </c>
      <c r="AO107" s="54">
        <f>G107*0.008557214</f>
        <v>0</v>
      </c>
      <c r="AP107" s="54">
        <f>G107*(1-0.008557214)</f>
        <v>0</v>
      </c>
      <c r="AQ107" s="57" t="s">
        <v>108</v>
      </c>
      <c r="AV107" s="54">
        <f t="shared" si="152"/>
        <v>0</v>
      </c>
      <c r="AW107" s="54">
        <f t="shared" si="153"/>
        <v>0</v>
      </c>
      <c r="AX107" s="54">
        <f t="shared" si="154"/>
        <v>0</v>
      </c>
      <c r="AY107" s="57" t="s">
        <v>236</v>
      </c>
      <c r="AZ107" s="57" t="s">
        <v>331</v>
      </c>
      <c r="BA107" s="34" t="s">
        <v>332</v>
      </c>
      <c r="BC107" s="54">
        <f t="shared" si="155"/>
        <v>0</v>
      </c>
      <c r="BD107" s="54">
        <f t="shared" si="156"/>
        <v>0</v>
      </c>
      <c r="BE107" s="54">
        <v>0</v>
      </c>
      <c r="BF107" s="54">
        <f>107</f>
        <v>107</v>
      </c>
      <c r="BH107" s="54">
        <f t="shared" si="157"/>
        <v>0</v>
      </c>
      <c r="BI107" s="54">
        <f t="shared" si="158"/>
        <v>0</v>
      </c>
      <c r="BJ107" s="54">
        <f t="shared" si="159"/>
        <v>0</v>
      </c>
      <c r="BK107" s="57" t="s">
        <v>115</v>
      </c>
      <c r="BL107" s="54">
        <v>18</v>
      </c>
      <c r="BW107" s="54">
        <v>21</v>
      </c>
      <c r="BX107" s="3" t="s">
        <v>350</v>
      </c>
    </row>
    <row r="108" spans="1:76" x14ac:dyDescent="0.25">
      <c r="A108" s="1" t="s">
        <v>351</v>
      </c>
      <c r="B108" s="2" t="s">
        <v>352</v>
      </c>
      <c r="C108" s="83" t="s">
        <v>353</v>
      </c>
      <c r="D108" s="78"/>
      <c r="E108" s="2" t="s">
        <v>119</v>
      </c>
      <c r="F108" s="54">
        <v>192</v>
      </c>
      <c r="G108" s="55">
        <v>0</v>
      </c>
      <c r="H108" s="54">
        <f t="shared" si="138"/>
        <v>0</v>
      </c>
      <c r="I108" s="54">
        <f t="shared" si="139"/>
        <v>0</v>
      </c>
      <c r="J108" s="54">
        <f t="shared" si="140"/>
        <v>0</v>
      </c>
      <c r="K108" s="56" t="s">
        <v>120</v>
      </c>
      <c r="Z108" s="54">
        <f t="shared" si="141"/>
        <v>0</v>
      </c>
      <c r="AB108" s="54">
        <f t="shared" si="142"/>
        <v>0</v>
      </c>
      <c r="AC108" s="54">
        <f t="shared" si="143"/>
        <v>0</v>
      </c>
      <c r="AD108" s="54">
        <f t="shared" si="144"/>
        <v>0</v>
      </c>
      <c r="AE108" s="54">
        <f t="shared" si="145"/>
        <v>0</v>
      </c>
      <c r="AF108" s="54">
        <f t="shared" si="146"/>
        <v>0</v>
      </c>
      <c r="AG108" s="54">
        <f t="shared" si="147"/>
        <v>0</v>
      </c>
      <c r="AH108" s="54">
        <f t="shared" si="148"/>
        <v>0</v>
      </c>
      <c r="AI108" s="34" t="s">
        <v>327</v>
      </c>
      <c r="AJ108" s="54">
        <f t="shared" si="149"/>
        <v>0</v>
      </c>
      <c r="AK108" s="54">
        <f t="shared" si="150"/>
        <v>0</v>
      </c>
      <c r="AL108" s="54">
        <f t="shared" si="151"/>
        <v>0</v>
      </c>
      <c r="AN108" s="54">
        <v>21</v>
      </c>
      <c r="AO108" s="54">
        <f>G108*0</f>
        <v>0</v>
      </c>
      <c r="AP108" s="54">
        <f>G108*(1-0)</f>
        <v>0</v>
      </c>
      <c r="AQ108" s="57" t="s">
        <v>108</v>
      </c>
      <c r="AV108" s="54">
        <f t="shared" si="152"/>
        <v>0</v>
      </c>
      <c r="AW108" s="54">
        <f t="shared" si="153"/>
        <v>0</v>
      </c>
      <c r="AX108" s="54">
        <f t="shared" si="154"/>
        <v>0</v>
      </c>
      <c r="AY108" s="57" t="s">
        <v>236</v>
      </c>
      <c r="AZ108" s="57" t="s">
        <v>331</v>
      </c>
      <c r="BA108" s="34" t="s">
        <v>332</v>
      </c>
      <c r="BC108" s="54">
        <f t="shared" si="155"/>
        <v>0</v>
      </c>
      <c r="BD108" s="54">
        <f t="shared" si="156"/>
        <v>0</v>
      </c>
      <c r="BE108" s="54">
        <v>0</v>
      </c>
      <c r="BF108" s="54">
        <f>108</f>
        <v>108</v>
      </c>
      <c r="BH108" s="54">
        <f t="shared" si="157"/>
        <v>0</v>
      </c>
      <c r="BI108" s="54">
        <f t="shared" si="158"/>
        <v>0</v>
      </c>
      <c r="BJ108" s="54">
        <f t="shared" si="159"/>
        <v>0</v>
      </c>
      <c r="BK108" s="57" t="s">
        <v>115</v>
      </c>
      <c r="BL108" s="54">
        <v>18</v>
      </c>
      <c r="BW108" s="54">
        <v>21</v>
      </c>
      <c r="BX108" s="3" t="s">
        <v>353</v>
      </c>
    </row>
    <row r="109" spans="1:76" x14ac:dyDescent="0.25">
      <c r="A109" s="1" t="s">
        <v>354</v>
      </c>
      <c r="B109" s="2" t="s">
        <v>256</v>
      </c>
      <c r="C109" s="83" t="s">
        <v>355</v>
      </c>
      <c r="D109" s="78"/>
      <c r="E109" s="2" t="s">
        <v>177</v>
      </c>
      <c r="F109" s="54">
        <v>7.7</v>
      </c>
      <c r="G109" s="55">
        <v>0</v>
      </c>
      <c r="H109" s="54">
        <f t="shared" si="138"/>
        <v>0</v>
      </c>
      <c r="I109" s="54">
        <f t="shared" si="139"/>
        <v>0</v>
      </c>
      <c r="J109" s="54">
        <f t="shared" si="140"/>
        <v>0</v>
      </c>
      <c r="K109" s="56" t="s">
        <v>120</v>
      </c>
      <c r="Z109" s="54">
        <f t="shared" si="141"/>
        <v>0</v>
      </c>
      <c r="AB109" s="54">
        <f t="shared" si="142"/>
        <v>0</v>
      </c>
      <c r="AC109" s="54">
        <f t="shared" si="143"/>
        <v>0</v>
      </c>
      <c r="AD109" s="54">
        <f t="shared" si="144"/>
        <v>0</v>
      </c>
      <c r="AE109" s="54">
        <f t="shared" si="145"/>
        <v>0</v>
      </c>
      <c r="AF109" s="54">
        <f t="shared" si="146"/>
        <v>0</v>
      </c>
      <c r="AG109" s="54">
        <f t="shared" si="147"/>
        <v>0</v>
      </c>
      <c r="AH109" s="54">
        <f t="shared" si="148"/>
        <v>0</v>
      </c>
      <c r="AI109" s="34" t="s">
        <v>327</v>
      </c>
      <c r="AJ109" s="54">
        <f t="shared" si="149"/>
        <v>0</v>
      </c>
      <c r="AK109" s="54">
        <f t="shared" si="150"/>
        <v>0</v>
      </c>
      <c r="AL109" s="54">
        <f t="shared" si="151"/>
        <v>0</v>
      </c>
      <c r="AN109" s="54">
        <v>21</v>
      </c>
      <c r="AO109" s="54">
        <f>G109*0</f>
        <v>0</v>
      </c>
      <c r="AP109" s="54">
        <f>G109*(1-0)</f>
        <v>0</v>
      </c>
      <c r="AQ109" s="57" t="s">
        <v>108</v>
      </c>
      <c r="AV109" s="54">
        <f t="shared" si="152"/>
        <v>0</v>
      </c>
      <c r="AW109" s="54">
        <f t="shared" si="153"/>
        <v>0</v>
      </c>
      <c r="AX109" s="54">
        <f t="shared" si="154"/>
        <v>0</v>
      </c>
      <c r="AY109" s="57" t="s">
        <v>236</v>
      </c>
      <c r="AZ109" s="57" t="s">
        <v>331</v>
      </c>
      <c r="BA109" s="34" t="s">
        <v>332</v>
      </c>
      <c r="BC109" s="54">
        <f t="shared" si="155"/>
        <v>0</v>
      </c>
      <c r="BD109" s="54">
        <f t="shared" si="156"/>
        <v>0</v>
      </c>
      <c r="BE109" s="54">
        <v>0</v>
      </c>
      <c r="BF109" s="54">
        <f>109</f>
        <v>109</v>
      </c>
      <c r="BH109" s="54">
        <f t="shared" si="157"/>
        <v>0</v>
      </c>
      <c r="BI109" s="54">
        <f t="shared" si="158"/>
        <v>0</v>
      </c>
      <c r="BJ109" s="54">
        <f t="shared" si="159"/>
        <v>0</v>
      </c>
      <c r="BK109" s="57" t="s">
        <v>115</v>
      </c>
      <c r="BL109" s="54">
        <v>18</v>
      </c>
      <c r="BW109" s="54">
        <v>21</v>
      </c>
      <c r="BX109" s="3" t="s">
        <v>355</v>
      </c>
    </row>
    <row r="110" spans="1:76" x14ac:dyDescent="0.25">
      <c r="A110" s="49" t="s">
        <v>4</v>
      </c>
      <c r="B110" s="50" t="s">
        <v>258</v>
      </c>
      <c r="C110" s="161" t="s">
        <v>259</v>
      </c>
      <c r="D110" s="162"/>
      <c r="E110" s="51" t="s">
        <v>69</v>
      </c>
      <c r="F110" s="51" t="s">
        <v>69</v>
      </c>
      <c r="G110" s="52" t="s">
        <v>69</v>
      </c>
      <c r="H110" s="28">
        <f>SUM(H111:H111)</f>
        <v>0</v>
      </c>
      <c r="I110" s="28">
        <f>SUM(I111:I111)</f>
        <v>0</v>
      </c>
      <c r="J110" s="28">
        <f>SUM(J111:J111)</f>
        <v>0</v>
      </c>
      <c r="K110" s="53" t="s">
        <v>4</v>
      </c>
      <c r="AI110" s="34" t="s">
        <v>327</v>
      </c>
      <c r="AS110" s="28">
        <f>SUM(AJ111:AJ111)</f>
        <v>0</v>
      </c>
      <c r="AT110" s="28">
        <f>SUM(AK111:AK111)</f>
        <v>0</v>
      </c>
      <c r="AU110" s="28">
        <f>SUM(AL111:AL111)</f>
        <v>0</v>
      </c>
    </row>
    <row r="111" spans="1:76" x14ac:dyDescent="0.25">
      <c r="A111" s="1" t="s">
        <v>356</v>
      </c>
      <c r="B111" s="2" t="s">
        <v>219</v>
      </c>
      <c r="C111" s="83" t="s">
        <v>220</v>
      </c>
      <c r="D111" s="78"/>
      <c r="E111" s="2" t="s">
        <v>136</v>
      </c>
      <c r="F111" s="54">
        <v>10.039999999999999</v>
      </c>
      <c r="G111" s="55">
        <v>0</v>
      </c>
      <c r="H111" s="54">
        <f>ROUND(F111*AO111,2)</f>
        <v>0</v>
      </c>
      <c r="I111" s="54">
        <f>ROUND(F111*AP111,2)</f>
        <v>0</v>
      </c>
      <c r="J111" s="54">
        <f>ROUND(F111*G111,2)</f>
        <v>0</v>
      </c>
      <c r="K111" s="56" t="s">
        <v>120</v>
      </c>
      <c r="Z111" s="54">
        <f>ROUND(IF(AQ111="5",BJ111,0),2)</f>
        <v>0</v>
      </c>
      <c r="AB111" s="54">
        <f>ROUND(IF(AQ111="1",BH111,0),2)</f>
        <v>0</v>
      </c>
      <c r="AC111" s="54">
        <f>ROUND(IF(AQ111="1",BI111,0),2)</f>
        <v>0</v>
      </c>
      <c r="AD111" s="54">
        <f>ROUND(IF(AQ111="7",BH111,0),2)</f>
        <v>0</v>
      </c>
      <c r="AE111" s="54">
        <f>ROUND(IF(AQ111="7",BI111,0),2)</f>
        <v>0</v>
      </c>
      <c r="AF111" s="54">
        <f>ROUND(IF(AQ111="2",BH111,0),2)</f>
        <v>0</v>
      </c>
      <c r="AG111" s="54">
        <f>ROUND(IF(AQ111="2",BI111,0),2)</f>
        <v>0</v>
      </c>
      <c r="AH111" s="54">
        <f>ROUND(IF(AQ111="0",BJ111,0),2)</f>
        <v>0</v>
      </c>
      <c r="AI111" s="34" t="s">
        <v>327</v>
      </c>
      <c r="AJ111" s="54">
        <f>IF(AN111=0,J111,0)</f>
        <v>0</v>
      </c>
      <c r="AK111" s="54">
        <f>IF(AN111=0,J111,0)</f>
        <v>0</v>
      </c>
      <c r="AL111" s="54">
        <f>IF(AN111=21,J111,0)</f>
        <v>0</v>
      </c>
      <c r="AN111" s="54">
        <v>21</v>
      </c>
      <c r="AO111" s="54">
        <f>G111*0</f>
        <v>0</v>
      </c>
      <c r="AP111" s="54">
        <f>G111*(1-0)</f>
        <v>0</v>
      </c>
      <c r="AQ111" s="57" t="s">
        <v>129</v>
      </c>
      <c r="AV111" s="54">
        <f>ROUND(AW111+AX111,2)</f>
        <v>0</v>
      </c>
      <c r="AW111" s="54">
        <f>ROUND(F111*AO111,2)</f>
        <v>0</v>
      </c>
      <c r="AX111" s="54">
        <f>ROUND(F111*AP111,2)</f>
        <v>0</v>
      </c>
      <c r="AY111" s="57" t="s">
        <v>261</v>
      </c>
      <c r="AZ111" s="57" t="s">
        <v>357</v>
      </c>
      <c r="BA111" s="34" t="s">
        <v>332</v>
      </c>
      <c r="BC111" s="54">
        <f>AW111+AX111</f>
        <v>0</v>
      </c>
      <c r="BD111" s="54">
        <f>G111/(100-BE111)*100</f>
        <v>0</v>
      </c>
      <c r="BE111" s="54">
        <v>0</v>
      </c>
      <c r="BF111" s="54">
        <f>111</f>
        <v>111</v>
      </c>
      <c r="BH111" s="54">
        <f>F111*AO111</f>
        <v>0</v>
      </c>
      <c r="BI111" s="54">
        <f>F111*AP111</f>
        <v>0</v>
      </c>
      <c r="BJ111" s="54">
        <f>F111*G111</f>
        <v>0</v>
      </c>
      <c r="BK111" s="57" t="s">
        <v>115</v>
      </c>
      <c r="BL111" s="54"/>
      <c r="BW111" s="54">
        <v>21</v>
      </c>
      <c r="BX111" s="3" t="s">
        <v>220</v>
      </c>
    </row>
    <row r="112" spans="1:76" x14ac:dyDescent="0.25">
      <c r="A112" s="49" t="s">
        <v>4</v>
      </c>
      <c r="B112" s="50" t="s">
        <v>190</v>
      </c>
      <c r="C112" s="161" t="s">
        <v>40</v>
      </c>
      <c r="D112" s="162"/>
      <c r="E112" s="51" t="s">
        <v>69</v>
      </c>
      <c r="F112" s="51" t="s">
        <v>69</v>
      </c>
      <c r="G112" s="52" t="s">
        <v>69</v>
      </c>
      <c r="H112" s="28">
        <f>SUM(H113:H119)</f>
        <v>0</v>
      </c>
      <c r="I112" s="28">
        <f>SUM(I113:I119)</f>
        <v>0</v>
      </c>
      <c r="J112" s="28">
        <f>SUM(J113:J119)</f>
        <v>0</v>
      </c>
      <c r="K112" s="53" t="s">
        <v>4</v>
      </c>
      <c r="AI112" s="34" t="s">
        <v>327</v>
      </c>
      <c r="AS112" s="28">
        <f>SUM(AJ113:AJ119)</f>
        <v>0</v>
      </c>
      <c r="AT112" s="28">
        <f>SUM(AK113:AK119)</f>
        <v>0</v>
      </c>
      <c r="AU112" s="28">
        <f>SUM(AL113:AL119)</f>
        <v>0</v>
      </c>
    </row>
    <row r="113" spans="1:76" x14ac:dyDescent="0.25">
      <c r="A113" s="1" t="s">
        <v>358</v>
      </c>
      <c r="B113" s="2" t="s">
        <v>317</v>
      </c>
      <c r="C113" s="83" t="s">
        <v>318</v>
      </c>
      <c r="D113" s="78"/>
      <c r="E113" s="2" t="s">
        <v>177</v>
      </c>
      <c r="F113" s="54">
        <v>13.4</v>
      </c>
      <c r="G113" s="55">
        <v>0</v>
      </c>
      <c r="H113" s="54">
        <f t="shared" ref="H113:H119" si="160">ROUND(F113*AO113,2)</f>
        <v>0</v>
      </c>
      <c r="I113" s="54">
        <f t="shared" ref="I113:I119" si="161">ROUND(F113*AP113,2)</f>
        <v>0</v>
      </c>
      <c r="J113" s="54">
        <f t="shared" ref="J113:J119" si="162">ROUND(F113*G113,2)</f>
        <v>0</v>
      </c>
      <c r="K113" s="56" t="s">
        <v>120</v>
      </c>
      <c r="Z113" s="54">
        <f t="shared" ref="Z113:Z119" si="163">ROUND(IF(AQ113="5",BJ113,0),2)</f>
        <v>0</v>
      </c>
      <c r="AB113" s="54">
        <f t="shared" ref="AB113:AB119" si="164">ROUND(IF(AQ113="1",BH113,0),2)</f>
        <v>0</v>
      </c>
      <c r="AC113" s="54">
        <f t="shared" ref="AC113:AC119" si="165">ROUND(IF(AQ113="1",BI113,0),2)</f>
        <v>0</v>
      </c>
      <c r="AD113" s="54">
        <f t="shared" ref="AD113:AD119" si="166">ROUND(IF(AQ113="7",BH113,0),2)</f>
        <v>0</v>
      </c>
      <c r="AE113" s="54">
        <f t="shared" ref="AE113:AE119" si="167">ROUND(IF(AQ113="7",BI113,0),2)</f>
        <v>0</v>
      </c>
      <c r="AF113" s="54">
        <f t="shared" ref="AF113:AF119" si="168">ROUND(IF(AQ113="2",BH113,0),2)</f>
        <v>0</v>
      </c>
      <c r="AG113" s="54">
        <f t="shared" ref="AG113:AG119" si="169">ROUND(IF(AQ113="2",BI113,0),2)</f>
        <v>0</v>
      </c>
      <c r="AH113" s="54">
        <f t="shared" ref="AH113:AH119" si="170">ROUND(IF(AQ113="0",BJ113,0),2)</f>
        <v>0</v>
      </c>
      <c r="AI113" s="34" t="s">
        <v>327</v>
      </c>
      <c r="AJ113" s="54">
        <f t="shared" ref="AJ113:AJ119" si="171">IF(AN113=0,J113,0)</f>
        <v>0</v>
      </c>
      <c r="AK113" s="54">
        <f t="shared" ref="AK113:AK119" si="172">IF(AN113=0,J113,0)</f>
        <v>0</v>
      </c>
      <c r="AL113" s="54">
        <f t="shared" ref="AL113:AL119" si="173">IF(AN113=21,J113,0)</f>
        <v>0</v>
      </c>
      <c r="AN113" s="54">
        <v>21</v>
      </c>
      <c r="AO113" s="54">
        <f t="shared" ref="AO113:AO119" si="174">G113*1</f>
        <v>0</v>
      </c>
      <c r="AP113" s="54">
        <f t="shared" ref="AP113:AP119" si="175">G113*(1-1)</f>
        <v>0</v>
      </c>
      <c r="AQ113" s="57" t="s">
        <v>194</v>
      </c>
      <c r="AV113" s="54">
        <f t="shared" ref="AV113:AV119" si="176">ROUND(AW113+AX113,2)</f>
        <v>0</v>
      </c>
      <c r="AW113" s="54">
        <f t="shared" ref="AW113:AW119" si="177">ROUND(F113*AO113,2)</f>
        <v>0</v>
      </c>
      <c r="AX113" s="54">
        <f t="shared" ref="AX113:AX119" si="178">ROUND(F113*AP113,2)</f>
        <v>0</v>
      </c>
      <c r="AY113" s="57" t="s">
        <v>195</v>
      </c>
      <c r="AZ113" s="57" t="s">
        <v>359</v>
      </c>
      <c r="BA113" s="34" t="s">
        <v>332</v>
      </c>
      <c r="BC113" s="54">
        <f t="shared" ref="BC113:BC119" si="179">AW113+AX113</f>
        <v>0</v>
      </c>
      <c r="BD113" s="54">
        <f t="shared" ref="BD113:BD119" si="180">G113/(100-BE113)*100</f>
        <v>0</v>
      </c>
      <c r="BE113" s="54">
        <v>0</v>
      </c>
      <c r="BF113" s="54">
        <f>113</f>
        <v>113</v>
      </c>
      <c r="BH113" s="54">
        <f t="shared" ref="BH113:BH119" si="181">F113*AO113</f>
        <v>0</v>
      </c>
      <c r="BI113" s="54">
        <f t="shared" ref="BI113:BI119" si="182">F113*AP113</f>
        <v>0</v>
      </c>
      <c r="BJ113" s="54">
        <f t="shared" ref="BJ113:BJ119" si="183">F113*G113</f>
        <v>0</v>
      </c>
      <c r="BK113" s="57" t="s">
        <v>190</v>
      </c>
      <c r="BL113" s="54"/>
      <c r="BW113" s="54">
        <v>21</v>
      </c>
      <c r="BX113" s="3" t="s">
        <v>318</v>
      </c>
    </row>
    <row r="114" spans="1:76" x14ac:dyDescent="0.25">
      <c r="A114" s="1" t="s">
        <v>360</v>
      </c>
      <c r="B114" s="2" t="s">
        <v>361</v>
      </c>
      <c r="C114" s="83" t="s">
        <v>362</v>
      </c>
      <c r="D114" s="78"/>
      <c r="E114" s="2" t="s">
        <v>214</v>
      </c>
      <c r="F114" s="54">
        <v>997</v>
      </c>
      <c r="G114" s="55">
        <v>0</v>
      </c>
      <c r="H114" s="54">
        <f t="shared" si="160"/>
        <v>0</v>
      </c>
      <c r="I114" s="54">
        <f t="shared" si="161"/>
        <v>0</v>
      </c>
      <c r="J114" s="54">
        <f t="shared" si="162"/>
        <v>0</v>
      </c>
      <c r="K114" s="56" t="s">
        <v>4</v>
      </c>
      <c r="Z114" s="54">
        <f t="shared" si="163"/>
        <v>0</v>
      </c>
      <c r="AB114" s="54">
        <f t="shared" si="164"/>
        <v>0</v>
      </c>
      <c r="AC114" s="54">
        <f t="shared" si="165"/>
        <v>0</v>
      </c>
      <c r="AD114" s="54">
        <f t="shared" si="166"/>
        <v>0</v>
      </c>
      <c r="AE114" s="54">
        <f t="shared" si="167"/>
        <v>0</v>
      </c>
      <c r="AF114" s="54">
        <f t="shared" si="168"/>
        <v>0</v>
      </c>
      <c r="AG114" s="54">
        <f t="shared" si="169"/>
        <v>0</v>
      </c>
      <c r="AH114" s="54">
        <f t="shared" si="170"/>
        <v>0</v>
      </c>
      <c r="AI114" s="34" t="s">
        <v>327</v>
      </c>
      <c r="AJ114" s="54">
        <f t="shared" si="171"/>
        <v>0</v>
      </c>
      <c r="AK114" s="54">
        <f t="shared" si="172"/>
        <v>0</v>
      </c>
      <c r="AL114" s="54">
        <f t="shared" si="173"/>
        <v>0</v>
      </c>
      <c r="AN114" s="54">
        <v>21</v>
      </c>
      <c r="AO114" s="54">
        <f t="shared" si="174"/>
        <v>0</v>
      </c>
      <c r="AP114" s="54">
        <f t="shared" si="175"/>
        <v>0</v>
      </c>
      <c r="AQ114" s="57" t="s">
        <v>194</v>
      </c>
      <c r="AV114" s="54">
        <f t="shared" si="176"/>
        <v>0</v>
      </c>
      <c r="AW114" s="54">
        <f t="shared" si="177"/>
        <v>0</v>
      </c>
      <c r="AX114" s="54">
        <f t="shared" si="178"/>
        <v>0</v>
      </c>
      <c r="AY114" s="57" t="s">
        <v>195</v>
      </c>
      <c r="AZ114" s="57" t="s">
        <v>359</v>
      </c>
      <c r="BA114" s="34" t="s">
        <v>332</v>
      </c>
      <c r="BC114" s="54">
        <f t="shared" si="179"/>
        <v>0</v>
      </c>
      <c r="BD114" s="54">
        <f t="shared" si="180"/>
        <v>0</v>
      </c>
      <c r="BE114" s="54">
        <v>0</v>
      </c>
      <c r="BF114" s="54">
        <f>114</f>
        <v>114</v>
      </c>
      <c r="BH114" s="54">
        <f t="shared" si="181"/>
        <v>0</v>
      </c>
      <c r="BI114" s="54">
        <f t="shared" si="182"/>
        <v>0</v>
      </c>
      <c r="BJ114" s="54">
        <f t="shared" si="183"/>
        <v>0</v>
      </c>
      <c r="BK114" s="57" t="s">
        <v>190</v>
      </c>
      <c r="BL114" s="54"/>
      <c r="BW114" s="54">
        <v>21</v>
      </c>
      <c r="BX114" s="3" t="s">
        <v>362</v>
      </c>
    </row>
    <row r="115" spans="1:76" x14ac:dyDescent="0.25">
      <c r="A115" s="1" t="s">
        <v>363</v>
      </c>
      <c r="B115" s="2" t="s">
        <v>364</v>
      </c>
      <c r="C115" s="83" t="s">
        <v>365</v>
      </c>
      <c r="D115" s="78"/>
      <c r="E115" s="2" t="s">
        <v>214</v>
      </c>
      <c r="F115" s="54">
        <v>75</v>
      </c>
      <c r="G115" s="55">
        <v>0</v>
      </c>
      <c r="H115" s="54">
        <f t="shared" si="160"/>
        <v>0</v>
      </c>
      <c r="I115" s="54">
        <f t="shared" si="161"/>
        <v>0</v>
      </c>
      <c r="J115" s="54">
        <f t="shared" si="162"/>
        <v>0</v>
      </c>
      <c r="K115" s="56" t="s">
        <v>120</v>
      </c>
      <c r="Z115" s="54">
        <f t="shared" si="163"/>
        <v>0</v>
      </c>
      <c r="AB115" s="54">
        <f t="shared" si="164"/>
        <v>0</v>
      </c>
      <c r="AC115" s="54">
        <f t="shared" si="165"/>
        <v>0</v>
      </c>
      <c r="AD115" s="54">
        <f t="shared" si="166"/>
        <v>0</v>
      </c>
      <c r="AE115" s="54">
        <f t="shared" si="167"/>
        <v>0</v>
      </c>
      <c r="AF115" s="54">
        <f t="shared" si="168"/>
        <v>0</v>
      </c>
      <c r="AG115" s="54">
        <f t="shared" si="169"/>
        <v>0</v>
      </c>
      <c r="AH115" s="54">
        <f t="shared" si="170"/>
        <v>0</v>
      </c>
      <c r="AI115" s="34" t="s">
        <v>327</v>
      </c>
      <c r="AJ115" s="54">
        <f t="shared" si="171"/>
        <v>0</v>
      </c>
      <c r="AK115" s="54">
        <f t="shared" si="172"/>
        <v>0</v>
      </c>
      <c r="AL115" s="54">
        <f t="shared" si="173"/>
        <v>0</v>
      </c>
      <c r="AN115" s="54">
        <v>21</v>
      </c>
      <c r="AO115" s="54">
        <f t="shared" si="174"/>
        <v>0</v>
      </c>
      <c r="AP115" s="54">
        <f t="shared" si="175"/>
        <v>0</v>
      </c>
      <c r="AQ115" s="57" t="s">
        <v>194</v>
      </c>
      <c r="AV115" s="54">
        <f t="shared" si="176"/>
        <v>0</v>
      </c>
      <c r="AW115" s="54">
        <f t="shared" si="177"/>
        <v>0</v>
      </c>
      <c r="AX115" s="54">
        <f t="shared" si="178"/>
        <v>0</v>
      </c>
      <c r="AY115" s="57" t="s">
        <v>195</v>
      </c>
      <c r="AZ115" s="57" t="s">
        <v>359</v>
      </c>
      <c r="BA115" s="34" t="s">
        <v>332</v>
      </c>
      <c r="BC115" s="54">
        <f t="shared" si="179"/>
        <v>0</v>
      </c>
      <c r="BD115" s="54">
        <f t="shared" si="180"/>
        <v>0</v>
      </c>
      <c r="BE115" s="54">
        <v>0</v>
      </c>
      <c r="BF115" s="54">
        <f>115</f>
        <v>115</v>
      </c>
      <c r="BH115" s="54">
        <f t="shared" si="181"/>
        <v>0</v>
      </c>
      <c r="BI115" s="54">
        <f t="shared" si="182"/>
        <v>0</v>
      </c>
      <c r="BJ115" s="54">
        <f t="shared" si="183"/>
        <v>0</v>
      </c>
      <c r="BK115" s="57" t="s">
        <v>190</v>
      </c>
      <c r="BL115" s="54"/>
      <c r="BW115" s="54">
        <v>21</v>
      </c>
      <c r="BX115" s="3" t="s">
        <v>365</v>
      </c>
    </row>
    <row r="116" spans="1:76" x14ac:dyDescent="0.25">
      <c r="A116" s="1" t="s">
        <v>366</v>
      </c>
      <c r="B116" s="2" t="s">
        <v>367</v>
      </c>
      <c r="C116" s="83" t="s">
        <v>368</v>
      </c>
      <c r="D116" s="78"/>
      <c r="E116" s="2" t="s">
        <v>369</v>
      </c>
      <c r="F116" s="54">
        <v>0.1</v>
      </c>
      <c r="G116" s="55">
        <v>0</v>
      </c>
      <c r="H116" s="54">
        <f t="shared" si="160"/>
        <v>0</v>
      </c>
      <c r="I116" s="54">
        <f t="shared" si="161"/>
        <v>0</v>
      </c>
      <c r="J116" s="54">
        <f t="shared" si="162"/>
        <v>0</v>
      </c>
      <c r="K116" s="56" t="s">
        <v>4</v>
      </c>
      <c r="Z116" s="54">
        <f t="shared" si="163"/>
        <v>0</v>
      </c>
      <c r="AB116" s="54">
        <f t="shared" si="164"/>
        <v>0</v>
      </c>
      <c r="AC116" s="54">
        <f t="shared" si="165"/>
        <v>0</v>
      </c>
      <c r="AD116" s="54">
        <f t="shared" si="166"/>
        <v>0</v>
      </c>
      <c r="AE116" s="54">
        <f t="shared" si="167"/>
        <v>0</v>
      </c>
      <c r="AF116" s="54">
        <f t="shared" si="168"/>
        <v>0</v>
      </c>
      <c r="AG116" s="54">
        <f t="shared" si="169"/>
        <v>0</v>
      </c>
      <c r="AH116" s="54">
        <f t="shared" si="170"/>
        <v>0</v>
      </c>
      <c r="AI116" s="34" t="s">
        <v>327</v>
      </c>
      <c r="AJ116" s="54">
        <f t="shared" si="171"/>
        <v>0</v>
      </c>
      <c r="AK116" s="54">
        <f t="shared" si="172"/>
        <v>0</v>
      </c>
      <c r="AL116" s="54">
        <f t="shared" si="173"/>
        <v>0</v>
      </c>
      <c r="AN116" s="54">
        <v>21</v>
      </c>
      <c r="AO116" s="54">
        <f t="shared" si="174"/>
        <v>0</v>
      </c>
      <c r="AP116" s="54">
        <f t="shared" si="175"/>
        <v>0</v>
      </c>
      <c r="AQ116" s="57" t="s">
        <v>194</v>
      </c>
      <c r="AV116" s="54">
        <f t="shared" si="176"/>
        <v>0</v>
      </c>
      <c r="AW116" s="54">
        <f t="shared" si="177"/>
        <v>0</v>
      </c>
      <c r="AX116" s="54">
        <f t="shared" si="178"/>
        <v>0</v>
      </c>
      <c r="AY116" s="57" t="s">
        <v>195</v>
      </c>
      <c r="AZ116" s="57" t="s">
        <v>359</v>
      </c>
      <c r="BA116" s="34" t="s">
        <v>332</v>
      </c>
      <c r="BC116" s="54">
        <f t="shared" si="179"/>
        <v>0</v>
      </c>
      <c r="BD116" s="54">
        <f t="shared" si="180"/>
        <v>0</v>
      </c>
      <c r="BE116" s="54">
        <v>0</v>
      </c>
      <c r="BF116" s="54">
        <f>116</f>
        <v>116</v>
      </c>
      <c r="BH116" s="54">
        <f t="shared" si="181"/>
        <v>0</v>
      </c>
      <c r="BI116" s="54">
        <f t="shared" si="182"/>
        <v>0</v>
      </c>
      <c r="BJ116" s="54">
        <f t="shared" si="183"/>
        <v>0</v>
      </c>
      <c r="BK116" s="57" t="s">
        <v>190</v>
      </c>
      <c r="BL116" s="54"/>
      <c r="BW116" s="54">
        <v>21</v>
      </c>
      <c r="BX116" s="3" t="s">
        <v>368</v>
      </c>
    </row>
    <row r="117" spans="1:76" x14ac:dyDescent="0.25">
      <c r="A117" s="1" t="s">
        <v>370</v>
      </c>
      <c r="B117" s="2" t="s">
        <v>278</v>
      </c>
      <c r="C117" s="83" t="s">
        <v>279</v>
      </c>
      <c r="D117" s="78"/>
      <c r="E117" s="2" t="s">
        <v>177</v>
      </c>
      <c r="F117" s="54">
        <v>7.7</v>
      </c>
      <c r="G117" s="55">
        <v>0</v>
      </c>
      <c r="H117" s="54">
        <f t="shared" si="160"/>
        <v>0</v>
      </c>
      <c r="I117" s="54">
        <f t="shared" si="161"/>
        <v>0</v>
      </c>
      <c r="J117" s="54">
        <f t="shared" si="162"/>
        <v>0</v>
      </c>
      <c r="K117" s="56" t="s">
        <v>120</v>
      </c>
      <c r="Z117" s="54">
        <f t="shared" si="163"/>
        <v>0</v>
      </c>
      <c r="AB117" s="54">
        <f t="shared" si="164"/>
        <v>0</v>
      </c>
      <c r="AC117" s="54">
        <f t="shared" si="165"/>
        <v>0</v>
      </c>
      <c r="AD117" s="54">
        <f t="shared" si="166"/>
        <v>0</v>
      </c>
      <c r="AE117" s="54">
        <f t="shared" si="167"/>
        <v>0</v>
      </c>
      <c r="AF117" s="54">
        <f t="shared" si="168"/>
        <v>0</v>
      </c>
      <c r="AG117" s="54">
        <f t="shared" si="169"/>
        <v>0</v>
      </c>
      <c r="AH117" s="54">
        <f t="shared" si="170"/>
        <v>0</v>
      </c>
      <c r="AI117" s="34" t="s">
        <v>327</v>
      </c>
      <c r="AJ117" s="54">
        <f t="shared" si="171"/>
        <v>0</v>
      </c>
      <c r="AK117" s="54">
        <f t="shared" si="172"/>
        <v>0</v>
      </c>
      <c r="AL117" s="54">
        <f t="shared" si="173"/>
        <v>0</v>
      </c>
      <c r="AN117" s="54">
        <v>21</v>
      </c>
      <c r="AO117" s="54">
        <f t="shared" si="174"/>
        <v>0</v>
      </c>
      <c r="AP117" s="54">
        <f t="shared" si="175"/>
        <v>0</v>
      </c>
      <c r="AQ117" s="57" t="s">
        <v>194</v>
      </c>
      <c r="AV117" s="54">
        <f t="shared" si="176"/>
        <v>0</v>
      </c>
      <c r="AW117" s="54">
        <f t="shared" si="177"/>
        <v>0</v>
      </c>
      <c r="AX117" s="54">
        <f t="shared" si="178"/>
        <v>0</v>
      </c>
      <c r="AY117" s="57" t="s">
        <v>195</v>
      </c>
      <c r="AZ117" s="57" t="s">
        <v>359</v>
      </c>
      <c r="BA117" s="34" t="s">
        <v>332</v>
      </c>
      <c r="BC117" s="54">
        <f t="shared" si="179"/>
        <v>0</v>
      </c>
      <c r="BD117" s="54">
        <f t="shared" si="180"/>
        <v>0</v>
      </c>
      <c r="BE117" s="54">
        <v>0</v>
      </c>
      <c r="BF117" s="54">
        <f>117</f>
        <v>117</v>
      </c>
      <c r="BH117" s="54">
        <f t="shared" si="181"/>
        <v>0</v>
      </c>
      <c r="BI117" s="54">
        <f t="shared" si="182"/>
        <v>0</v>
      </c>
      <c r="BJ117" s="54">
        <f t="shared" si="183"/>
        <v>0</v>
      </c>
      <c r="BK117" s="57" t="s">
        <v>190</v>
      </c>
      <c r="BL117" s="54"/>
      <c r="BW117" s="54">
        <v>21</v>
      </c>
      <c r="BX117" s="3" t="s">
        <v>279</v>
      </c>
    </row>
    <row r="118" spans="1:76" x14ac:dyDescent="0.25">
      <c r="A118" s="1" t="s">
        <v>371</v>
      </c>
      <c r="B118" s="2" t="s">
        <v>264</v>
      </c>
      <c r="C118" s="83" t="s">
        <v>372</v>
      </c>
      <c r="D118" s="78"/>
      <c r="E118" s="2" t="s">
        <v>214</v>
      </c>
      <c r="F118" s="54">
        <v>1147</v>
      </c>
      <c r="G118" s="55">
        <v>0</v>
      </c>
      <c r="H118" s="54">
        <f t="shared" si="160"/>
        <v>0</v>
      </c>
      <c r="I118" s="54">
        <f t="shared" si="161"/>
        <v>0</v>
      </c>
      <c r="J118" s="54">
        <f t="shared" si="162"/>
        <v>0</v>
      </c>
      <c r="K118" s="56" t="s">
        <v>4</v>
      </c>
      <c r="Z118" s="54">
        <f t="shared" si="163"/>
        <v>0</v>
      </c>
      <c r="AB118" s="54">
        <f t="shared" si="164"/>
        <v>0</v>
      </c>
      <c r="AC118" s="54">
        <f t="shared" si="165"/>
        <v>0</v>
      </c>
      <c r="AD118" s="54">
        <f t="shared" si="166"/>
        <v>0</v>
      </c>
      <c r="AE118" s="54">
        <f t="shared" si="167"/>
        <v>0</v>
      </c>
      <c r="AF118" s="54">
        <f t="shared" si="168"/>
        <v>0</v>
      </c>
      <c r="AG118" s="54">
        <f t="shared" si="169"/>
        <v>0</v>
      </c>
      <c r="AH118" s="54">
        <f t="shared" si="170"/>
        <v>0</v>
      </c>
      <c r="AI118" s="34" t="s">
        <v>327</v>
      </c>
      <c r="AJ118" s="54">
        <f t="shared" si="171"/>
        <v>0</v>
      </c>
      <c r="AK118" s="54">
        <f t="shared" si="172"/>
        <v>0</v>
      </c>
      <c r="AL118" s="54">
        <f t="shared" si="173"/>
        <v>0</v>
      </c>
      <c r="AN118" s="54">
        <v>21</v>
      </c>
      <c r="AO118" s="54">
        <f t="shared" si="174"/>
        <v>0</v>
      </c>
      <c r="AP118" s="54">
        <f t="shared" si="175"/>
        <v>0</v>
      </c>
      <c r="AQ118" s="57" t="s">
        <v>194</v>
      </c>
      <c r="AV118" s="54">
        <f t="shared" si="176"/>
        <v>0</v>
      </c>
      <c r="AW118" s="54">
        <f t="shared" si="177"/>
        <v>0</v>
      </c>
      <c r="AX118" s="54">
        <f t="shared" si="178"/>
        <v>0</v>
      </c>
      <c r="AY118" s="57" t="s">
        <v>195</v>
      </c>
      <c r="AZ118" s="57" t="s">
        <v>359</v>
      </c>
      <c r="BA118" s="34" t="s">
        <v>332</v>
      </c>
      <c r="BC118" s="54">
        <f t="shared" si="179"/>
        <v>0</v>
      </c>
      <c r="BD118" s="54">
        <f t="shared" si="180"/>
        <v>0</v>
      </c>
      <c r="BE118" s="54">
        <v>0</v>
      </c>
      <c r="BF118" s="54">
        <f>118</f>
        <v>118</v>
      </c>
      <c r="BH118" s="54">
        <f t="shared" si="181"/>
        <v>0</v>
      </c>
      <c r="BI118" s="54">
        <f t="shared" si="182"/>
        <v>0</v>
      </c>
      <c r="BJ118" s="54">
        <f t="shared" si="183"/>
        <v>0</v>
      </c>
      <c r="BK118" s="57" t="s">
        <v>190</v>
      </c>
      <c r="BL118" s="54"/>
      <c r="BW118" s="54">
        <v>21</v>
      </c>
      <c r="BX118" s="3" t="s">
        <v>372</v>
      </c>
    </row>
    <row r="119" spans="1:76" x14ac:dyDescent="0.25">
      <c r="A119" s="1" t="s">
        <v>373</v>
      </c>
      <c r="B119" s="2" t="s">
        <v>192</v>
      </c>
      <c r="C119" s="83" t="s">
        <v>193</v>
      </c>
      <c r="D119" s="78"/>
      <c r="E119" s="2" t="s">
        <v>136</v>
      </c>
      <c r="F119" s="54">
        <v>0.8</v>
      </c>
      <c r="G119" s="55">
        <v>0</v>
      </c>
      <c r="H119" s="54">
        <f t="shared" si="160"/>
        <v>0</v>
      </c>
      <c r="I119" s="54">
        <f t="shared" si="161"/>
        <v>0</v>
      </c>
      <c r="J119" s="54">
        <f t="shared" si="162"/>
        <v>0</v>
      </c>
      <c r="K119" s="56" t="s">
        <v>120</v>
      </c>
      <c r="Z119" s="54">
        <f t="shared" si="163"/>
        <v>0</v>
      </c>
      <c r="AB119" s="54">
        <f t="shared" si="164"/>
        <v>0</v>
      </c>
      <c r="AC119" s="54">
        <f t="shared" si="165"/>
        <v>0</v>
      </c>
      <c r="AD119" s="54">
        <f t="shared" si="166"/>
        <v>0</v>
      </c>
      <c r="AE119" s="54">
        <f t="shared" si="167"/>
        <v>0</v>
      </c>
      <c r="AF119" s="54">
        <f t="shared" si="168"/>
        <v>0</v>
      </c>
      <c r="AG119" s="54">
        <f t="shared" si="169"/>
        <v>0</v>
      </c>
      <c r="AH119" s="54">
        <f t="shared" si="170"/>
        <v>0</v>
      </c>
      <c r="AI119" s="34" t="s">
        <v>327</v>
      </c>
      <c r="AJ119" s="54">
        <f t="shared" si="171"/>
        <v>0</v>
      </c>
      <c r="AK119" s="54">
        <f t="shared" si="172"/>
        <v>0</v>
      </c>
      <c r="AL119" s="54">
        <f t="shared" si="173"/>
        <v>0</v>
      </c>
      <c r="AN119" s="54">
        <v>21</v>
      </c>
      <c r="AO119" s="54">
        <f t="shared" si="174"/>
        <v>0</v>
      </c>
      <c r="AP119" s="54">
        <f t="shared" si="175"/>
        <v>0</v>
      </c>
      <c r="AQ119" s="57" t="s">
        <v>194</v>
      </c>
      <c r="AV119" s="54">
        <f t="shared" si="176"/>
        <v>0</v>
      </c>
      <c r="AW119" s="54">
        <f t="shared" si="177"/>
        <v>0</v>
      </c>
      <c r="AX119" s="54">
        <f t="shared" si="178"/>
        <v>0</v>
      </c>
      <c r="AY119" s="57" t="s">
        <v>195</v>
      </c>
      <c r="AZ119" s="57" t="s">
        <v>359</v>
      </c>
      <c r="BA119" s="34" t="s">
        <v>332</v>
      </c>
      <c r="BC119" s="54">
        <f t="shared" si="179"/>
        <v>0</v>
      </c>
      <c r="BD119" s="54">
        <f t="shared" si="180"/>
        <v>0</v>
      </c>
      <c r="BE119" s="54">
        <v>0</v>
      </c>
      <c r="BF119" s="54">
        <f>119</f>
        <v>119</v>
      </c>
      <c r="BH119" s="54">
        <f t="shared" si="181"/>
        <v>0</v>
      </c>
      <c r="BI119" s="54">
        <f t="shared" si="182"/>
        <v>0</v>
      </c>
      <c r="BJ119" s="54">
        <f t="shared" si="183"/>
        <v>0</v>
      </c>
      <c r="BK119" s="57" t="s">
        <v>190</v>
      </c>
      <c r="BL119" s="54"/>
      <c r="BW119" s="54">
        <v>21</v>
      </c>
      <c r="BX119" s="3" t="s">
        <v>193</v>
      </c>
    </row>
    <row r="120" spans="1:76" x14ac:dyDescent="0.25">
      <c r="A120" s="60" t="s">
        <v>4</v>
      </c>
      <c r="B120" s="61" t="s">
        <v>4</v>
      </c>
      <c r="C120" s="167" t="s">
        <v>374</v>
      </c>
      <c r="D120" s="168"/>
      <c r="E120" s="62" t="s">
        <v>69</v>
      </c>
      <c r="F120" s="62" t="s">
        <v>69</v>
      </c>
      <c r="G120" s="52" t="s">
        <v>69</v>
      </c>
      <c r="H120" s="63">
        <f>H121+H131+H133</f>
        <v>0</v>
      </c>
      <c r="I120" s="63">
        <f>I121+I131+I133</f>
        <v>0</v>
      </c>
      <c r="J120" s="63">
        <f>J121+J131+J133</f>
        <v>0</v>
      </c>
      <c r="K120" s="64" t="s">
        <v>4</v>
      </c>
    </row>
    <row r="121" spans="1:76" x14ac:dyDescent="0.25">
      <c r="A121" s="49" t="s">
        <v>4</v>
      </c>
      <c r="B121" s="50" t="s">
        <v>182</v>
      </c>
      <c r="C121" s="161" t="s">
        <v>232</v>
      </c>
      <c r="D121" s="162"/>
      <c r="E121" s="51" t="s">
        <v>69</v>
      </c>
      <c r="F121" s="51" t="s">
        <v>69</v>
      </c>
      <c r="G121" s="52" t="s">
        <v>69</v>
      </c>
      <c r="H121" s="28">
        <f>SUM(H122:H130)</f>
        <v>0</v>
      </c>
      <c r="I121" s="28">
        <f>SUM(I122:I130)</f>
        <v>0</v>
      </c>
      <c r="J121" s="28">
        <f>SUM(J122:J130)</f>
        <v>0</v>
      </c>
      <c r="K121" s="53" t="s">
        <v>4</v>
      </c>
      <c r="AI121" s="34" t="s">
        <v>375</v>
      </c>
      <c r="AS121" s="28">
        <f>SUM(AJ122:AJ130)</f>
        <v>0</v>
      </c>
      <c r="AT121" s="28">
        <f>SUM(AK122:AK130)</f>
        <v>0</v>
      </c>
      <c r="AU121" s="28">
        <f>SUM(AL122:AL130)</f>
        <v>0</v>
      </c>
    </row>
    <row r="122" spans="1:76" x14ac:dyDescent="0.25">
      <c r="A122" s="1" t="s">
        <v>376</v>
      </c>
      <c r="B122" s="2" t="s">
        <v>329</v>
      </c>
      <c r="C122" s="83" t="s">
        <v>377</v>
      </c>
      <c r="D122" s="78"/>
      <c r="E122" s="2" t="s">
        <v>119</v>
      </c>
      <c r="F122" s="54">
        <v>439.4</v>
      </c>
      <c r="G122" s="55">
        <v>0</v>
      </c>
      <c r="H122" s="54">
        <f t="shared" ref="H122:H130" si="184">ROUND(F122*AO122,2)</f>
        <v>0</v>
      </c>
      <c r="I122" s="54">
        <f t="shared" ref="I122:I130" si="185">ROUND(F122*AP122,2)</f>
        <v>0</v>
      </c>
      <c r="J122" s="54">
        <f t="shared" ref="J122:J130" si="186">ROUND(F122*G122,2)</f>
        <v>0</v>
      </c>
      <c r="K122" s="56" t="s">
        <v>120</v>
      </c>
      <c r="Z122" s="54">
        <f t="shared" ref="Z122:Z130" si="187">ROUND(IF(AQ122="5",BJ122,0),2)</f>
        <v>0</v>
      </c>
      <c r="AB122" s="54">
        <f t="shared" ref="AB122:AB130" si="188">ROUND(IF(AQ122="1",BH122,0),2)</f>
        <v>0</v>
      </c>
      <c r="AC122" s="54">
        <f t="shared" ref="AC122:AC130" si="189">ROUND(IF(AQ122="1",BI122,0),2)</f>
        <v>0</v>
      </c>
      <c r="AD122" s="54">
        <f t="shared" ref="AD122:AD130" si="190">ROUND(IF(AQ122="7",BH122,0),2)</f>
        <v>0</v>
      </c>
      <c r="AE122" s="54">
        <f t="shared" ref="AE122:AE130" si="191">ROUND(IF(AQ122="7",BI122,0),2)</f>
        <v>0</v>
      </c>
      <c r="AF122" s="54">
        <f t="shared" ref="AF122:AF130" si="192">ROUND(IF(AQ122="2",BH122,0),2)</f>
        <v>0</v>
      </c>
      <c r="AG122" s="54">
        <f t="shared" ref="AG122:AG130" si="193">ROUND(IF(AQ122="2",BI122,0),2)</f>
        <v>0</v>
      </c>
      <c r="AH122" s="54">
        <f t="shared" ref="AH122:AH130" si="194">ROUND(IF(AQ122="0",BJ122,0),2)</f>
        <v>0</v>
      </c>
      <c r="AI122" s="34" t="s">
        <v>375</v>
      </c>
      <c r="AJ122" s="54">
        <f t="shared" ref="AJ122:AJ130" si="195">IF(AN122=0,J122,0)</f>
        <v>0</v>
      </c>
      <c r="AK122" s="54">
        <f t="shared" ref="AK122:AK130" si="196">IF(AN122=0,J122,0)</f>
        <v>0</v>
      </c>
      <c r="AL122" s="54">
        <f t="shared" ref="AL122:AL130" si="197">IF(AN122=21,J122,0)</f>
        <v>0</v>
      </c>
      <c r="AN122" s="54">
        <v>21</v>
      </c>
      <c r="AO122" s="54">
        <f>G122*0.006558869</f>
        <v>0</v>
      </c>
      <c r="AP122" s="54">
        <f>G122*(1-0.006558869)</f>
        <v>0</v>
      </c>
      <c r="AQ122" s="57" t="s">
        <v>108</v>
      </c>
      <c r="AV122" s="54">
        <f t="shared" ref="AV122:AV130" si="198">ROUND(AW122+AX122,2)</f>
        <v>0</v>
      </c>
      <c r="AW122" s="54">
        <f t="shared" ref="AW122:AW130" si="199">ROUND(F122*AO122,2)</f>
        <v>0</v>
      </c>
      <c r="AX122" s="54">
        <f t="shared" ref="AX122:AX130" si="200">ROUND(F122*AP122,2)</f>
        <v>0</v>
      </c>
      <c r="AY122" s="57" t="s">
        <v>236</v>
      </c>
      <c r="AZ122" s="57" t="s">
        <v>378</v>
      </c>
      <c r="BA122" s="34" t="s">
        <v>379</v>
      </c>
      <c r="BC122" s="54">
        <f t="shared" ref="BC122:BC130" si="201">AW122+AX122</f>
        <v>0</v>
      </c>
      <c r="BD122" s="54">
        <f t="shared" ref="BD122:BD130" si="202">G122/(100-BE122)*100</f>
        <v>0</v>
      </c>
      <c r="BE122" s="54">
        <v>0</v>
      </c>
      <c r="BF122" s="54">
        <f>122</f>
        <v>122</v>
      </c>
      <c r="BH122" s="54">
        <f t="shared" ref="BH122:BH130" si="203">F122*AO122</f>
        <v>0</v>
      </c>
      <c r="BI122" s="54">
        <f t="shared" ref="BI122:BI130" si="204">F122*AP122</f>
        <v>0</v>
      </c>
      <c r="BJ122" s="54">
        <f t="shared" ref="BJ122:BJ130" si="205">F122*G122</f>
        <v>0</v>
      </c>
      <c r="BK122" s="57" t="s">
        <v>115</v>
      </c>
      <c r="BL122" s="54">
        <v>18</v>
      </c>
      <c r="BW122" s="54">
        <v>21</v>
      </c>
      <c r="BX122" s="3" t="s">
        <v>377</v>
      </c>
    </row>
    <row r="123" spans="1:76" x14ac:dyDescent="0.25">
      <c r="A123" s="1" t="s">
        <v>380</v>
      </c>
      <c r="B123" s="2" t="s">
        <v>334</v>
      </c>
      <c r="C123" s="83" t="s">
        <v>335</v>
      </c>
      <c r="D123" s="78"/>
      <c r="E123" s="2" t="s">
        <v>119</v>
      </c>
      <c r="F123" s="54">
        <v>439.4</v>
      </c>
      <c r="G123" s="55">
        <v>0</v>
      </c>
      <c r="H123" s="54">
        <f t="shared" si="184"/>
        <v>0</v>
      </c>
      <c r="I123" s="54">
        <f t="shared" si="185"/>
        <v>0</v>
      </c>
      <c r="J123" s="54">
        <f t="shared" si="186"/>
        <v>0</v>
      </c>
      <c r="K123" s="56" t="s">
        <v>120</v>
      </c>
      <c r="Z123" s="54">
        <f t="shared" si="187"/>
        <v>0</v>
      </c>
      <c r="AB123" s="54">
        <f t="shared" si="188"/>
        <v>0</v>
      </c>
      <c r="AC123" s="54">
        <f t="shared" si="189"/>
        <v>0</v>
      </c>
      <c r="AD123" s="54">
        <f t="shared" si="190"/>
        <v>0</v>
      </c>
      <c r="AE123" s="54">
        <f t="shared" si="191"/>
        <v>0</v>
      </c>
      <c r="AF123" s="54">
        <f t="shared" si="192"/>
        <v>0</v>
      </c>
      <c r="AG123" s="54">
        <f t="shared" si="193"/>
        <v>0</v>
      </c>
      <c r="AH123" s="54">
        <f t="shared" si="194"/>
        <v>0</v>
      </c>
      <c r="AI123" s="34" t="s">
        <v>375</v>
      </c>
      <c r="AJ123" s="54">
        <f t="shared" si="195"/>
        <v>0</v>
      </c>
      <c r="AK123" s="54">
        <f t="shared" si="196"/>
        <v>0</v>
      </c>
      <c r="AL123" s="54">
        <f t="shared" si="197"/>
        <v>0</v>
      </c>
      <c r="AN123" s="54">
        <v>21</v>
      </c>
      <c r="AO123" s="54">
        <f t="shared" ref="AO123:AO128" si="206">G123*0</f>
        <v>0</v>
      </c>
      <c r="AP123" s="54">
        <f t="shared" ref="AP123:AP128" si="207">G123*(1-0)</f>
        <v>0</v>
      </c>
      <c r="AQ123" s="57" t="s">
        <v>108</v>
      </c>
      <c r="AV123" s="54">
        <f t="shared" si="198"/>
        <v>0</v>
      </c>
      <c r="AW123" s="54">
        <f t="shared" si="199"/>
        <v>0</v>
      </c>
      <c r="AX123" s="54">
        <f t="shared" si="200"/>
        <v>0</v>
      </c>
      <c r="AY123" s="57" t="s">
        <v>236</v>
      </c>
      <c r="AZ123" s="57" t="s">
        <v>378</v>
      </c>
      <c r="BA123" s="34" t="s">
        <v>379</v>
      </c>
      <c r="BC123" s="54">
        <f t="shared" si="201"/>
        <v>0</v>
      </c>
      <c r="BD123" s="54">
        <f t="shared" si="202"/>
        <v>0</v>
      </c>
      <c r="BE123" s="54">
        <v>0</v>
      </c>
      <c r="BF123" s="54">
        <f>123</f>
        <v>123</v>
      </c>
      <c r="BH123" s="54">
        <f t="shared" si="203"/>
        <v>0</v>
      </c>
      <c r="BI123" s="54">
        <f t="shared" si="204"/>
        <v>0</v>
      </c>
      <c r="BJ123" s="54">
        <f t="shared" si="205"/>
        <v>0</v>
      </c>
      <c r="BK123" s="57" t="s">
        <v>115</v>
      </c>
      <c r="BL123" s="54">
        <v>18</v>
      </c>
      <c r="BW123" s="54">
        <v>21</v>
      </c>
      <c r="BX123" s="3" t="s">
        <v>335</v>
      </c>
    </row>
    <row r="124" spans="1:76" x14ac:dyDescent="0.25">
      <c r="A124" s="1" t="s">
        <v>381</v>
      </c>
      <c r="B124" s="2" t="s">
        <v>382</v>
      </c>
      <c r="C124" s="83" t="s">
        <v>383</v>
      </c>
      <c r="D124" s="78"/>
      <c r="E124" s="2" t="s">
        <v>119</v>
      </c>
      <c r="F124" s="54">
        <v>439.4</v>
      </c>
      <c r="G124" s="55">
        <v>0</v>
      </c>
      <c r="H124" s="54">
        <f t="shared" si="184"/>
        <v>0</v>
      </c>
      <c r="I124" s="54">
        <f t="shared" si="185"/>
        <v>0</v>
      </c>
      <c r="J124" s="54">
        <f t="shared" si="186"/>
        <v>0</v>
      </c>
      <c r="K124" s="56" t="s">
        <v>120</v>
      </c>
      <c r="Z124" s="54">
        <f t="shared" si="187"/>
        <v>0</v>
      </c>
      <c r="AB124" s="54">
        <f t="shared" si="188"/>
        <v>0</v>
      </c>
      <c r="AC124" s="54">
        <f t="shared" si="189"/>
        <v>0</v>
      </c>
      <c r="AD124" s="54">
        <f t="shared" si="190"/>
        <v>0</v>
      </c>
      <c r="AE124" s="54">
        <f t="shared" si="191"/>
        <v>0</v>
      </c>
      <c r="AF124" s="54">
        <f t="shared" si="192"/>
        <v>0</v>
      </c>
      <c r="AG124" s="54">
        <f t="shared" si="193"/>
        <v>0</v>
      </c>
      <c r="AH124" s="54">
        <f t="shared" si="194"/>
        <v>0</v>
      </c>
      <c r="AI124" s="34" t="s">
        <v>375</v>
      </c>
      <c r="AJ124" s="54">
        <f t="shared" si="195"/>
        <v>0</v>
      </c>
      <c r="AK124" s="54">
        <f t="shared" si="196"/>
        <v>0</v>
      </c>
      <c r="AL124" s="54">
        <f t="shared" si="197"/>
        <v>0</v>
      </c>
      <c r="AN124" s="54">
        <v>21</v>
      </c>
      <c r="AO124" s="54">
        <f t="shared" si="206"/>
        <v>0</v>
      </c>
      <c r="AP124" s="54">
        <f t="shared" si="207"/>
        <v>0</v>
      </c>
      <c r="AQ124" s="57" t="s">
        <v>108</v>
      </c>
      <c r="AV124" s="54">
        <f t="shared" si="198"/>
        <v>0</v>
      </c>
      <c r="AW124" s="54">
        <f t="shared" si="199"/>
        <v>0</v>
      </c>
      <c r="AX124" s="54">
        <f t="shared" si="200"/>
        <v>0</v>
      </c>
      <c r="AY124" s="57" t="s">
        <v>236</v>
      </c>
      <c r="AZ124" s="57" t="s">
        <v>378</v>
      </c>
      <c r="BA124" s="34" t="s">
        <v>379</v>
      </c>
      <c r="BC124" s="54">
        <f t="shared" si="201"/>
        <v>0</v>
      </c>
      <c r="BD124" s="54">
        <f t="shared" si="202"/>
        <v>0</v>
      </c>
      <c r="BE124" s="54">
        <v>0</v>
      </c>
      <c r="BF124" s="54">
        <f>124</f>
        <v>124</v>
      </c>
      <c r="BH124" s="54">
        <f t="shared" si="203"/>
        <v>0</v>
      </c>
      <c r="BI124" s="54">
        <f t="shared" si="204"/>
        <v>0</v>
      </c>
      <c r="BJ124" s="54">
        <f t="shared" si="205"/>
        <v>0</v>
      </c>
      <c r="BK124" s="57" t="s">
        <v>115</v>
      </c>
      <c r="BL124" s="54">
        <v>18</v>
      </c>
      <c r="BW124" s="54">
        <v>21</v>
      </c>
      <c r="BX124" s="3" t="s">
        <v>383</v>
      </c>
    </row>
    <row r="125" spans="1:76" x14ac:dyDescent="0.25">
      <c r="A125" s="1" t="s">
        <v>384</v>
      </c>
      <c r="B125" s="2" t="s">
        <v>385</v>
      </c>
      <c r="C125" s="83" t="s">
        <v>386</v>
      </c>
      <c r="D125" s="78"/>
      <c r="E125" s="2" t="s">
        <v>119</v>
      </c>
      <c r="F125" s="54">
        <v>439.4</v>
      </c>
      <c r="G125" s="55">
        <v>0</v>
      </c>
      <c r="H125" s="54">
        <f t="shared" si="184"/>
        <v>0</v>
      </c>
      <c r="I125" s="54">
        <f t="shared" si="185"/>
        <v>0</v>
      </c>
      <c r="J125" s="54">
        <f t="shared" si="186"/>
        <v>0</v>
      </c>
      <c r="K125" s="56" t="s">
        <v>120</v>
      </c>
      <c r="Z125" s="54">
        <f t="shared" si="187"/>
        <v>0</v>
      </c>
      <c r="AB125" s="54">
        <f t="shared" si="188"/>
        <v>0</v>
      </c>
      <c r="AC125" s="54">
        <f t="shared" si="189"/>
        <v>0</v>
      </c>
      <c r="AD125" s="54">
        <f t="shared" si="190"/>
        <v>0</v>
      </c>
      <c r="AE125" s="54">
        <f t="shared" si="191"/>
        <v>0</v>
      </c>
      <c r="AF125" s="54">
        <f t="shared" si="192"/>
        <v>0</v>
      </c>
      <c r="AG125" s="54">
        <f t="shared" si="193"/>
        <v>0</v>
      </c>
      <c r="AH125" s="54">
        <f t="shared" si="194"/>
        <v>0</v>
      </c>
      <c r="AI125" s="34" t="s">
        <v>375</v>
      </c>
      <c r="AJ125" s="54">
        <f t="shared" si="195"/>
        <v>0</v>
      </c>
      <c r="AK125" s="54">
        <f t="shared" si="196"/>
        <v>0</v>
      </c>
      <c r="AL125" s="54">
        <f t="shared" si="197"/>
        <v>0</v>
      </c>
      <c r="AN125" s="54">
        <v>21</v>
      </c>
      <c r="AO125" s="54">
        <f t="shared" si="206"/>
        <v>0</v>
      </c>
      <c r="AP125" s="54">
        <f t="shared" si="207"/>
        <v>0</v>
      </c>
      <c r="AQ125" s="57" t="s">
        <v>108</v>
      </c>
      <c r="AV125" s="54">
        <f t="shared" si="198"/>
        <v>0</v>
      </c>
      <c r="AW125" s="54">
        <f t="shared" si="199"/>
        <v>0</v>
      </c>
      <c r="AX125" s="54">
        <f t="shared" si="200"/>
        <v>0</v>
      </c>
      <c r="AY125" s="57" t="s">
        <v>236</v>
      </c>
      <c r="AZ125" s="57" t="s">
        <v>378</v>
      </c>
      <c r="BA125" s="34" t="s">
        <v>379</v>
      </c>
      <c r="BC125" s="54">
        <f t="shared" si="201"/>
        <v>0</v>
      </c>
      <c r="BD125" s="54">
        <f t="shared" si="202"/>
        <v>0</v>
      </c>
      <c r="BE125" s="54">
        <v>0</v>
      </c>
      <c r="BF125" s="54">
        <f>125</f>
        <v>125</v>
      </c>
      <c r="BH125" s="54">
        <f t="shared" si="203"/>
        <v>0</v>
      </c>
      <c r="BI125" s="54">
        <f t="shared" si="204"/>
        <v>0</v>
      </c>
      <c r="BJ125" s="54">
        <f t="shared" si="205"/>
        <v>0</v>
      </c>
      <c r="BK125" s="57" t="s">
        <v>115</v>
      </c>
      <c r="BL125" s="54">
        <v>18</v>
      </c>
      <c r="BW125" s="54">
        <v>21</v>
      </c>
      <c r="BX125" s="3" t="s">
        <v>386</v>
      </c>
    </row>
    <row r="126" spans="1:76" x14ac:dyDescent="0.25">
      <c r="A126" s="1" t="s">
        <v>387</v>
      </c>
      <c r="B126" s="2" t="s">
        <v>388</v>
      </c>
      <c r="C126" s="83" t="s">
        <v>389</v>
      </c>
      <c r="D126" s="78"/>
      <c r="E126" s="2" t="s">
        <v>119</v>
      </c>
      <c r="F126" s="54">
        <v>439.4</v>
      </c>
      <c r="G126" s="55">
        <v>0</v>
      </c>
      <c r="H126" s="54">
        <f t="shared" si="184"/>
        <v>0</v>
      </c>
      <c r="I126" s="54">
        <f t="shared" si="185"/>
        <v>0</v>
      </c>
      <c r="J126" s="54">
        <f t="shared" si="186"/>
        <v>0</v>
      </c>
      <c r="K126" s="56" t="s">
        <v>120</v>
      </c>
      <c r="Z126" s="54">
        <f t="shared" si="187"/>
        <v>0</v>
      </c>
      <c r="AB126" s="54">
        <f t="shared" si="188"/>
        <v>0</v>
      </c>
      <c r="AC126" s="54">
        <f t="shared" si="189"/>
        <v>0</v>
      </c>
      <c r="AD126" s="54">
        <f t="shared" si="190"/>
        <v>0</v>
      </c>
      <c r="AE126" s="54">
        <f t="shared" si="191"/>
        <v>0</v>
      </c>
      <c r="AF126" s="54">
        <f t="shared" si="192"/>
        <v>0</v>
      </c>
      <c r="AG126" s="54">
        <f t="shared" si="193"/>
        <v>0</v>
      </c>
      <c r="AH126" s="54">
        <f t="shared" si="194"/>
        <v>0</v>
      </c>
      <c r="AI126" s="34" t="s">
        <v>375</v>
      </c>
      <c r="AJ126" s="54">
        <f t="shared" si="195"/>
        <v>0</v>
      </c>
      <c r="AK126" s="54">
        <f t="shared" si="196"/>
        <v>0</v>
      </c>
      <c r="AL126" s="54">
        <f t="shared" si="197"/>
        <v>0</v>
      </c>
      <c r="AN126" s="54">
        <v>21</v>
      </c>
      <c r="AO126" s="54">
        <f t="shared" si="206"/>
        <v>0</v>
      </c>
      <c r="AP126" s="54">
        <f t="shared" si="207"/>
        <v>0</v>
      </c>
      <c r="AQ126" s="57" t="s">
        <v>108</v>
      </c>
      <c r="AV126" s="54">
        <f t="shared" si="198"/>
        <v>0</v>
      </c>
      <c r="AW126" s="54">
        <f t="shared" si="199"/>
        <v>0</v>
      </c>
      <c r="AX126" s="54">
        <f t="shared" si="200"/>
        <v>0</v>
      </c>
      <c r="AY126" s="57" t="s">
        <v>236</v>
      </c>
      <c r="AZ126" s="57" t="s">
        <v>378</v>
      </c>
      <c r="BA126" s="34" t="s">
        <v>379</v>
      </c>
      <c r="BC126" s="54">
        <f t="shared" si="201"/>
        <v>0</v>
      </c>
      <c r="BD126" s="54">
        <f t="shared" si="202"/>
        <v>0</v>
      </c>
      <c r="BE126" s="54">
        <v>0</v>
      </c>
      <c r="BF126" s="54">
        <f>126</f>
        <v>126</v>
      </c>
      <c r="BH126" s="54">
        <f t="shared" si="203"/>
        <v>0</v>
      </c>
      <c r="BI126" s="54">
        <f t="shared" si="204"/>
        <v>0</v>
      </c>
      <c r="BJ126" s="54">
        <f t="shared" si="205"/>
        <v>0</v>
      </c>
      <c r="BK126" s="57" t="s">
        <v>115</v>
      </c>
      <c r="BL126" s="54">
        <v>18</v>
      </c>
      <c r="BW126" s="54">
        <v>21</v>
      </c>
      <c r="BX126" s="3" t="s">
        <v>389</v>
      </c>
    </row>
    <row r="127" spans="1:76" x14ac:dyDescent="0.25">
      <c r="A127" s="1" t="s">
        <v>390</v>
      </c>
      <c r="B127" s="2" t="s">
        <v>391</v>
      </c>
      <c r="C127" s="83" t="s">
        <v>392</v>
      </c>
      <c r="D127" s="78"/>
      <c r="E127" s="2" t="s">
        <v>119</v>
      </c>
      <c r="F127" s="54">
        <v>439.4</v>
      </c>
      <c r="G127" s="55">
        <v>0</v>
      </c>
      <c r="H127" s="54">
        <f t="shared" si="184"/>
        <v>0</v>
      </c>
      <c r="I127" s="54">
        <f t="shared" si="185"/>
        <v>0</v>
      </c>
      <c r="J127" s="54">
        <f t="shared" si="186"/>
        <v>0</v>
      </c>
      <c r="K127" s="56" t="s">
        <v>120</v>
      </c>
      <c r="Z127" s="54">
        <f t="shared" si="187"/>
        <v>0</v>
      </c>
      <c r="AB127" s="54">
        <f t="shared" si="188"/>
        <v>0</v>
      </c>
      <c r="AC127" s="54">
        <f t="shared" si="189"/>
        <v>0</v>
      </c>
      <c r="AD127" s="54">
        <f t="shared" si="190"/>
        <v>0</v>
      </c>
      <c r="AE127" s="54">
        <f t="shared" si="191"/>
        <v>0</v>
      </c>
      <c r="AF127" s="54">
        <f t="shared" si="192"/>
        <v>0</v>
      </c>
      <c r="AG127" s="54">
        <f t="shared" si="193"/>
        <v>0</v>
      </c>
      <c r="AH127" s="54">
        <f t="shared" si="194"/>
        <v>0</v>
      </c>
      <c r="AI127" s="34" t="s">
        <v>375</v>
      </c>
      <c r="AJ127" s="54">
        <f t="shared" si="195"/>
        <v>0</v>
      </c>
      <c r="AK127" s="54">
        <f t="shared" si="196"/>
        <v>0</v>
      </c>
      <c r="AL127" s="54">
        <f t="shared" si="197"/>
        <v>0</v>
      </c>
      <c r="AN127" s="54">
        <v>21</v>
      </c>
      <c r="AO127" s="54">
        <f t="shared" si="206"/>
        <v>0</v>
      </c>
      <c r="AP127" s="54">
        <f t="shared" si="207"/>
        <v>0</v>
      </c>
      <c r="AQ127" s="57" t="s">
        <v>108</v>
      </c>
      <c r="AV127" s="54">
        <f t="shared" si="198"/>
        <v>0</v>
      </c>
      <c r="AW127" s="54">
        <f t="shared" si="199"/>
        <v>0</v>
      </c>
      <c r="AX127" s="54">
        <f t="shared" si="200"/>
        <v>0</v>
      </c>
      <c r="AY127" s="57" t="s">
        <v>236</v>
      </c>
      <c r="AZ127" s="57" t="s">
        <v>378</v>
      </c>
      <c r="BA127" s="34" t="s">
        <v>379</v>
      </c>
      <c r="BC127" s="54">
        <f t="shared" si="201"/>
        <v>0</v>
      </c>
      <c r="BD127" s="54">
        <f t="shared" si="202"/>
        <v>0</v>
      </c>
      <c r="BE127" s="54">
        <v>0</v>
      </c>
      <c r="BF127" s="54">
        <f>127</f>
        <v>127</v>
      </c>
      <c r="BH127" s="54">
        <f t="shared" si="203"/>
        <v>0</v>
      </c>
      <c r="BI127" s="54">
        <f t="shared" si="204"/>
        <v>0</v>
      </c>
      <c r="BJ127" s="54">
        <f t="shared" si="205"/>
        <v>0</v>
      </c>
      <c r="BK127" s="57" t="s">
        <v>115</v>
      </c>
      <c r="BL127" s="54">
        <v>18</v>
      </c>
      <c r="BW127" s="54">
        <v>21</v>
      </c>
      <c r="BX127" s="3" t="s">
        <v>392</v>
      </c>
    </row>
    <row r="128" spans="1:76" x14ac:dyDescent="0.25">
      <c r="A128" s="1" t="s">
        <v>393</v>
      </c>
      <c r="B128" s="2" t="s">
        <v>394</v>
      </c>
      <c r="C128" s="83" t="s">
        <v>395</v>
      </c>
      <c r="D128" s="78"/>
      <c r="E128" s="2" t="s">
        <v>136</v>
      </c>
      <c r="F128" s="54">
        <v>0.01</v>
      </c>
      <c r="G128" s="55">
        <v>0</v>
      </c>
      <c r="H128" s="54">
        <f t="shared" si="184"/>
        <v>0</v>
      </c>
      <c r="I128" s="54">
        <f t="shared" si="185"/>
        <v>0</v>
      </c>
      <c r="J128" s="54">
        <f t="shared" si="186"/>
        <v>0</v>
      </c>
      <c r="K128" s="56" t="s">
        <v>120</v>
      </c>
      <c r="Z128" s="54">
        <f t="shared" si="187"/>
        <v>0</v>
      </c>
      <c r="AB128" s="54">
        <f t="shared" si="188"/>
        <v>0</v>
      </c>
      <c r="AC128" s="54">
        <f t="shared" si="189"/>
        <v>0</v>
      </c>
      <c r="AD128" s="54">
        <f t="shared" si="190"/>
        <v>0</v>
      </c>
      <c r="AE128" s="54">
        <f t="shared" si="191"/>
        <v>0</v>
      </c>
      <c r="AF128" s="54">
        <f t="shared" si="192"/>
        <v>0</v>
      </c>
      <c r="AG128" s="54">
        <f t="shared" si="193"/>
        <v>0</v>
      </c>
      <c r="AH128" s="54">
        <f t="shared" si="194"/>
        <v>0</v>
      </c>
      <c r="AI128" s="34" t="s">
        <v>375</v>
      </c>
      <c r="AJ128" s="54">
        <f t="shared" si="195"/>
        <v>0</v>
      </c>
      <c r="AK128" s="54">
        <f t="shared" si="196"/>
        <v>0</v>
      </c>
      <c r="AL128" s="54">
        <f t="shared" si="197"/>
        <v>0</v>
      </c>
      <c r="AN128" s="54">
        <v>21</v>
      </c>
      <c r="AO128" s="54">
        <f t="shared" si="206"/>
        <v>0</v>
      </c>
      <c r="AP128" s="54">
        <f t="shared" si="207"/>
        <v>0</v>
      </c>
      <c r="AQ128" s="57" t="s">
        <v>108</v>
      </c>
      <c r="AV128" s="54">
        <f t="shared" si="198"/>
        <v>0</v>
      </c>
      <c r="AW128" s="54">
        <f t="shared" si="199"/>
        <v>0</v>
      </c>
      <c r="AX128" s="54">
        <f t="shared" si="200"/>
        <v>0</v>
      </c>
      <c r="AY128" s="57" t="s">
        <v>236</v>
      </c>
      <c r="AZ128" s="57" t="s">
        <v>378</v>
      </c>
      <c r="BA128" s="34" t="s">
        <v>379</v>
      </c>
      <c r="BC128" s="54">
        <f t="shared" si="201"/>
        <v>0</v>
      </c>
      <c r="BD128" s="54">
        <f t="shared" si="202"/>
        <v>0</v>
      </c>
      <c r="BE128" s="54">
        <v>0</v>
      </c>
      <c r="BF128" s="54">
        <f>128</f>
        <v>128</v>
      </c>
      <c r="BH128" s="54">
        <f t="shared" si="203"/>
        <v>0</v>
      </c>
      <c r="BI128" s="54">
        <f t="shared" si="204"/>
        <v>0</v>
      </c>
      <c r="BJ128" s="54">
        <f t="shared" si="205"/>
        <v>0</v>
      </c>
      <c r="BK128" s="57" t="s">
        <v>115</v>
      </c>
      <c r="BL128" s="54">
        <v>18</v>
      </c>
      <c r="BW128" s="54">
        <v>21</v>
      </c>
      <c r="BX128" s="3" t="s">
        <v>395</v>
      </c>
    </row>
    <row r="129" spans="1:76" x14ac:dyDescent="0.25">
      <c r="A129" s="1" t="s">
        <v>396</v>
      </c>
      <c r="B129" s="2" t="s">
        <v>397</v>
      </c>
      <c r="C129" s="83" t="s">
        <v>398</v>
      </c>
      <c r="D129" s="78"/>
      <c r="E129" s="2" t="s">
        <v>119</v>
      </c>
      <c r="F129" s="54">
        <v>439.4</v>
      </c>
      <c r="G129" s="55">
        <v>0</v>
      </c>
      <c r="H129" s="54">
        <f t="shared" si="184"/>
        <v>0</v>
      </c>
      <c r="I129" s="54">
        <f t="shared" si="185"/>
        <v>0</v>
      </c>
      <c r="J129" s="54">
        <f t="shared" si="186"/>
        <v>0</v>
      </c>
      <c r="K129" s="56" t="s">
        <v>120</v>
      </c>
      <c r="Z129" s="54">
        <f t="shared" si="187"/>
        <v>0</v>
      </c>
      <c r="AB129" s="54">
        <f t="shared" si="188"/>
        <v>0</v>
      </c>
      <c r="AC129" s="54">
        <f t="shared" si="189"/>
        <v>0</v>
      </c>
      <c r="AD129" s="54">
        <f t="shared" si="190"/>
        <v>0</v>
      </c>
      <c r="AE129" s="54">
        <f t="shared" si="191"/>
        <v>0</v>
      </c>
      <c r="AF129" s="54">
        <f t="shared" si="192"/>
        <v>0</v>
      </c>
      <c r="AG129" s="54">
        <f t="shared" si="193"/>
        <v>0</v>
      </c>
      <c r="AH129" s="54">
        <f t="shared" si="194"/>
        <v>0</v>
      </c>
      <c r="AI129" s="34" t="s">
        <v>375</v>
      </c>
      <c r="AJ129" s="54">
        <f t="shared" si="195"/>
        <v>0</v>
      </c>
      <c r="AK129" s="54">
        <f t="shared" si="196"/>
        <v>0</v>
      </c>
      <c r="AL129" s="54">
        <f t="shared" si="197"/>
        <v>0</v>
      </c>
      <c r="AN129" s="54">
        <v>21</v>
      </c>
      <c r="AO129" s="54">
        <f>G129*0.064326098</f>
        <v>0</v>
      </c>
      <c r="AP129" s="54">
        <f>G129*(1-0.064326098)</f>
        <v>0</v>
      </c>
      <c r="AQ129" s="57" t="s">
        <v>108</v>
      </c>
      <c r="AV129" s="54">
        <f t="shared" si="198"/>
        <v>0</v>
      </c>
      <c r="AW129" s="54">
        <f t="shared" si="199"/>
        <v>0</v>
      </c>
      <c r="AX129" s="54">
        <f t="shared" si="200"/>
        <v>0</v>
      </c>
      <c r="AY129" s="57" t="s">
        <v>236</v>
      </c>
      <c r="AZ129" s="57" t="s">
        <v>378</v>
      </c>
      <c r="BA129" s="34" t="s">
        <v>379</v>
      </c>
      <c r="BC129" s="54">
        <f t="shared" si="201"/>
        <v>0</v>
      </c>
      <c r="BD129" s="54">
        <f t="shared" si="202"/>
        <v>0</v>
      </c>
      <c r="BE129" s="54">
        <v>0</v>
      </c>
      <c r="BF129" s="54">
        <f>129</f>
        <v>129</v>
      </c>
      <c r="BH129" s="54">
        <f t="shared" si="203"/>
        <v>0</v>
      </c>
      <c r="BI129" s="54">
        <f t="shared" si="204"/>
        <v>0</v>
      </c>
      <c r="BJ129" s="54">
        <f t="shared" si="205"/>
        <v>0</v>
      </c>
      <c r="BK129" s="57" t="s">
        <v>115</v>
      </c>
      <c r="BL129" s="54">
        <v>18</v>
      </c>
      <c r="BW129" s="54">
        <v>21</v>
      </c>
      <c r="BX129" s="3" t="s">
        <v>398</v>
      </c>
    </row>
    <row r="130" spans="1:76" x14ac:dyDescent="0.25">
      <c r="A130" s="1" t="s">
        <v>399</v>
      </c>
      <c r="B130" s="2" t="s">
        <v>400</v>
      </c>
      <c r="C130" s="83" t="s">
        <v>401</v>
      </c>
      <c r="D130" s="78"/>
      <c r="E130" s="2" t="s">
        <v>177</v>
      </c>
      <c r="F130" s="54">
        <v>4.38</v>
      </c>
      <c r="G130" s="55">
        <v>0</v>
      </c>
      <c r="H130" s="54">
        <f t="shared" si="184"/>
        <v>0</v>
      </c>
      <c r="I130" s="54">
        <f t="shared" si="185"/>
        <v>0</v>
      </c>
      <c r="J130" s="54">
        <f t="shared" si="186"/>
        <v>0</v>
      </c>
      <c r="K130" s="56" t="s">
        <v>120</v>
      </c>
      <c r="Z130" s="54">
        <f t="shared" si="187"/>
        <v>0</v>
      </c>
      <c r="AB130" s="54">
        <f t="shared" si="188"/>
        <v>0</v>
      </c>
      <c r="AC130" s="54">
        <f t="shared" si="189"/>
        <v>0</v>
      </c>
      <c r="AD130" s="54">
        <f t="shared" si="190"/>
        <v>0</v>
      </c>
      <c r="AE130" s="54">
        <f t="shared" si="191"/>
        <v>0</v>
      </c>
      <c r="AF130" s="54">
        <f t="shared" si="192"/>
        <v>0</v>
      </c>
      <c r="AG130" s="54">
        <f t="shared" si="193"/>
        <v>0</v>
      </c>
      <c r="AH130" s="54">
        <f t="shared" si="194"/>
        <v>0</v>
      </c>
      <c r="AI130" s="34" t="s">
        <v>375</v>
      </c>
      <c r="AJ130" s="54">
        <f t="shared" si="195"/>
        <v>0</v>
      </c>
      <c r="AK130" s="54">
        <f t="shared" si="196"/>
        <v>0</v>
      </c>
      <c r="AL130" s="54">
        <f t="shared" si="197"/>
        <v>0</v>
      </c>
      <c r="AN130" s="54">
        <v>21</v>
      </c>
      <c r="AO130" s="54">
        <f>G130*0.284157216</f>
        <v>0</v>
      </c>
      <c r="AP130" s="54">
        <f>G130*(1-0.284157216)</f>
        <v>0</v>
      </c>
      <c r="AQ130" s="57" t="s">
        <v>108</v>
      </c>
      <c r="AV130" s="54">
        <f t="shared" si="198"/>
        <v>0</v>
      </c>
      <c r="AW130" s="54">
        <f t="shared" si="199"/>
        <v>0</v>
      </c>
      <c r="AX130" s="54">
        <f t="shared" si="200"/>
        <v>0</v>
      </c>
      <c r="AY130" s="57" t="s">
        <v>236</v>
      </c>
      <c r="AZ130" s="57" t="s">
        <v>378</v>
      </c>
      <c r="BA130" s="34" t="s">
        <v>379</v>
      </c>
      <c r="BC130" s="54">
        <f t="shared" si="201"/>
        <v>0</v>
      </c>
      <c r="BD130" s="54">
        <f t="shared" si="202"/>
        <v>0</v>
      </c>
      <c r="BE130" s="54">
        <v>0</v>
      </c>
      <c r="BF130" s="54">
        <f>130</f>
        <v>130</v>
      </c>
      <c r="BH130" s="54">
        <f t="shared" si="203"/>
        <v>0</v>
      </c>
      <c r="BI130" s="54">
        <f t="shared" si="204"/>
        <v>0</v>
      </c>
      <c r="BJ130" s="54">
        <f t="shared" si="205"/>
        <v>0</v>
      </c>
      <c r="BK130" s="57" t="s">
        <v>115</v>
      </c>
      <c r="BL130" s="54">
        <v>18</v>
      </c>
      <c r="BW130" s="54">
        <v>21</v>
      </c>
      <c r="BX130" s="3" t="s">
        <v>401</v>
      </c>
    </row>
    <row r="131" spans="1:76" x14ac:dyDescent="0.25">
      <c r="A131" s="49" t="s">
        <v>4</v>
      </c>
      <c r="B131" s="50" t="s">
        <v>258</v>
      </c>
      <c r="C131" s="161" t="s">
        <v>259</v>
      </c>
      <c r="D131" s="162"/>
      <c r="E131" s="51" t="s">
        <v>69</v>
      </c>
      <c r="F131" s="51" t="s">
        <v>69</v>
      </c>
      <c r="G131" s="52" t="s">
        <v>69</v>
      </c>
      <c r="H131" s="28">
        <f>SUM(H132:H132)</f>
        <v>0</v>
      </c>
      <c r="I131" s="28">
        <f>SUM(I132:I132)</f>
        <v>0</v>
      </c>
      <c r="J131" s="28">
        <f>SUM(J132:J132)</f>
        <v>0</v>
      </c>
      <c r="K131" s="53" t="s">
        <v>4</v>
      </c>
      <c r="AI131" s="34" t="s">
        <v>375</v>
      </c>
      <c r="AS131" s="28">
        <f>SUM(AJ132:AJ132)</f>
        <v>0</v>
      </c>
      <c r="AT131" s="28">
        <f>SUM(AK132:AK132)</f>
        <v>0</v>
      </c>
      <c r="AU131" s="28">
        <f>SUM(AL132:AL132)</f>
        <v>0</v>
      </c>
    </row>
    <row r="132" spans="1:76" x14ac:dyDescent="0.25">
      <c r="A132" s="1" t="s">
        <v>402</v>
      </c>
      <c r="B132" s="2" t="s">
        <v>219</v>
      </c>
      <c r="C132" s="83" t="s">
        <v>220</v>
      </c>
      <c r="D132" s="78"/>
      <c r="E132" s="2" t="s">
        <v>136</v>
      </c>
      <c r="F132" s="54">
        <v>2.1999999999999999E-2</v>
      </c>
      <c r="G132" s="55">
        <v>0</v>
      </c>
      <c r="H132" s="54">
        <f>ROUND(F132*AO132,2)</f>
        <v>0</v>
      </c>
      <c r="I132" s="54">
        <f>ROUND(F132*AP132,2)</f>
        <v>0</v>
      </c>
      <c r="J132" s="54">
        <f>ROUND(F132*G132,2)</f>
        <v>0</v>
      </c>
      <c r="K132" s="56" t="s">
        <v>120</v>
      </c>
      <c r="Z132" s="54">
        <f>ROUND(IF(AQ132="5",BJ132,0),2)</f>
        <v>0</v>
      </c>
      <c r="AB132" s="54">
        <f>ROUND(IF(AQ132="1",BH132,0),2)</f>
        <v>0</v>
      </c>
      <c r="AC132" s="54">
        <f>ROUND(IF(AQ132="1",BI132,0),2)</f>
        <v>0</v>
      </c>
      <c r="AD132" s="54">
        <f>ROUND(IF(AQ132="7",BH132,0),2)</f>
        <v>0</v>
      </c>
      <c r="AE132" s="54">
        <f>ROUND(IF(AQ132="7",BI132,0),2)</f>
        <v>0</v>
      </c>
      <c r="AF132" s="54">
        <f>ROUND(IF(AQ132="2",BH132,0),2)</f>
        <v>0</v>
      </c>
      <c r="AG132" s="54">
        <f>ROUND(IF(AQ132="2",BI132,0),2)</f>
        <v>0</v>
      </c>
      <c r="AH132" s="54">
        <f>ROUND(IF(AQ132="0",BJ132,0),2)</f>
        <v>0</v>
      </c>
      <c r="AI132" s="34" t="s">
        <v>375</v>
      </c>
      <c r="AJ132" s="54">
        <f>IF(AN132=0,J132,0)</f>
        <v>0</v>
      </c>
      <c r="AK132" s="54">
        <f>IF(AN132=0,J132,0)</f>
        <v>0</v>
      </c>
      <c r="AL132" s="54">
        <f>IF(AN132=21,J132,0)</f>
        <v>0</v>
      </c>
      <c r="AN132" s="54">
        <v>21</v>
      </c>
      <c r="AO132" s="54">
        <f>G132*0</f>
        <v>0</v>
      </c>
      <c r="AP132" s="54">
        <f>G132*(1-0)</f>
        <v>0</v>
      </c>
      <c r="AQ132" s="57" t="s">
        <v>129</v>
      </c>
      <c r="AV132" s="54">
        <f>ROUND(AW132+AX132,2)</f>
        <v>0</v>
      </c>
      <c r="AW132" s="54">
        <f>ROUND(F132*AO132,2)</f>
        <v>0</v>
      </c>
      <c r="AX132" s="54">
        <f>ROUND(F132*AP132,2)</f>
        <v>0</v>
      </c>
      <c r="AY132" s="57" t="s">
        <v>261</v>
      </c>
      <c r="AZ132" s="57" t="s">
        <v>403</v>
      </c>
      <c r="BA132" s="34" t="s">
        <v>379</v>
      </c>
      <c r="BC132" s="54">
        <f>AW132+AX132</f>
        <v>0</v>
      </c>
      <c r="BD132" s="54">
        <f>G132/(100-BE132)*100</f>
        <v>0</v>
      </c>
      <c r="BE132" s="54">
        <v>0</v>
      </c>
      <c r="BF132" s="54">
        <f>132</f>
        <v>132</v>
      </c>
      <c r="BH132" s="54">
        <f>F132*AO132</f>
        <v>0</v>
      </c>
      <c r="BI132" s="54">
        <f>F132*AP132</f>
        <v>0</v>
      </c>
      <c r="BJ132" s="54">
        <f>F132*G132</f>
        <v>0</v>
      </c>
      <c r="BK132" s="57" t="s">
        <v>115</v>
      </c>
      <c r="BL132" s="54"/>
      <c r="BW132" s="54">
        <v>21</v>
      </c>
      <c r="BX132" s="3" t="s">
        <v>220</v>
      </c>
    </row>
    <row r="133" spans="1:76" x14ac:dyDescent="0.25">
      <c r="A133" s="49" t="s">
        <v>4</v>
      </c>
      <c r="B133" s="50" t="s">
        <v>190</v>
      </c>
      <c r="C133" s="161" t="s">
        <v>40</v>
      </c>
      <c r="D133" s="162"/>
      <c r="E133" s="51" t="s">
        <v>69</v>
      </c>
      <c r="F133" s="51" t="s">
        <v>69</v>
      </c>
      <c r="G133" s="52" t="s">
        <v>69</v>
      </c>
      <c r="H133" s="28">
        <f>SUM(H134:H137)</f>
        <v>0</v>
      </c>
      <c r="I133" s="28">
        <f>SUM(I134:I137)</f>
        <v>0</v>
      </c>
      <c r="J133" s="28">
        <f>SUM(J134:J137)</f>
        <v>0</v>
      </c>
      <c r="K133" s="53" t="s">
        <v>4</v>
      </c>
      <c r="AI133" s="34" t="s">
        <v>375</v>
      </c>
      <c r="AS133" s="28">
        <f>SUM(AJ134:AJ137)</f>
        <v>0</v>
      </c>
      <c r="AT133" s="28">
        <f>SUM(AK134:AK137)</f>
        <v>0</v>
      </c>
      <c r="AU133" s="28">
        <f>SUM(AL134:AL137)</f>
        <v>0</v>
      </c>
    </row>
    <row r="134" spans="1:76" x14ac:dyDescent="0.25">
      <c r="A134" s="1" t="s">
        <v>404</v>
      </c>
      <c r="B134" s="2" t="s">
        <v>405</v>
      </c>
      <c r="C134" s="83" t="s">
        <v>406</v>
      </c>
      <c r="D134" s="78"/>
      <c r="E134" s="2" t="s">
        <v>276</v>
      </c>
      <c r="F134" s="54">
        <v>10.94</v>
      </c>
      <c r="G134" s="55">
        <v>0</v>
      </c>
      <c r="H134" s="54">
        <f>ROUND(F134*AO134,2)</f>
        <v>0</v>
      </c>
      <c r="I134" s="54">
        <f>ROUND(F134*AP134,2)</f>
        <v>0</v>
      </c>
      <c r="J134" s="54">
        <f>ROUND(F134*G134,2)</f>
        <v>0</v>
      </c>
      <c r="K134" s="56" t="s">
        <v>4</v>
      </c>
      <c r="Z134" s="54">
        <f>ROUND(IF(AQ134="5",BJ134,0),2)</f>
        <v>0</v>
      </c>
      <c r="AB134" s="54">
        <f>ROUND(IF(AQ134="1",BH134,0),2)</f>
        <v>0</v>
      </c>
      <c r="AC134" s="54">
        <f>ROUND(IF(AQ134="1",BI134,0),2)</f>
        <v>0</v>
      </c>
      <c r="AD134" s="54">
        <f>ROUND(IF(AQ134="7",BH134,0),2)</f>
        <v>0</v>
      </c>
      <c r="AE134" s="54">
        <f>ROUND(IF(AQ134="7",BI134,0),2)</f>
        <v>0</v>
      </c>
      <c r="AF134" s="54">
        <f>ROUND(IF(AQ134="2",BH134,0),2)</f>
        <v>0</v>
      </c>
      <c r="AG134" s="54">
        <f>ROUND(IF(AQ134="2",BI134,0),2)</f>
        <v>0</v>
      </c>
      <c r="AH134" s="54">
        <f>ROUND(IF(AQ134="0",BJ134,0),2)</f>
        <v>0</v>
      </c>
      <c r="AI134" s="34" t="s">
        <v>375</v>
      </c>
      <c r="AJ134" s="54">
        <f>IF(AN134=0,J134,0)</f>
        <v>0</v>
      </c>
      <c r="AK134" s="54">
        <f>IF(AN134=0,J134,0)</f>
        <v>0</v>
      </c>
      <c r="AL134" s="54">
        <f>IF(AN134=21,J134,0)</f>
        <v>0</v>
      </c>
      <c r="AN134" s="54">
        <v>21</v>
      </c>
      <c r="AO134" s="54">
        <f>G134*1</f>
        <v>0</v>
      </c>
      <c r="AP134" s="54">
        <f>G134*(1-1)</f>
        <v>0</v>
      </c>
      <c r="AQ134" s="57" t="s">
        <v>194</v>
      </c>
      <c r="AV134" s="54">
        <f>ROUND(AW134+AX134,2)</f>
        <v>0</v>
      </c>
      <c r="AW134" s="54">
        <f>ROUND(F134*AO134,2)</f>
        <v>0</v>
      </c>
      <c r="AX134" s="54">
        <f>ROUND(F134*AP134,2)</f>
        <v>0</v>
      </c>
      <c r="AY134" s="57" t="s">
        <v>195</v>
      </c>
      <c r="AZ134" s="57" t="s">
        <v>407</v>
      </c>
      <c r="BA134" s="34" t="s">
        <v>379</v>
      </c>
      <c r="BC134" s="54">
        <f>AW134+AX134</f>
        <v>0</v>
      </c>
      <c r="BD134" s="54">
        <f>G134/(100-BE134)*100</f>
        <v>0</v>
      </c>
      <c r="BE134" s="54">
        <v>0</v>
      </c>
      <c r="BF134" s="54">
        <f>134</f>
        <v>134</v>
      </c>
      <c r="BH134" s="54">
        <f>F134*AO134</f>
        <v>0</v>
      </c>
      <c r="BI134" s="54">
        <f>F134*AP134</f>
        <v>0</v>
      </c>
      <c r="BJ134" s="54">
        <f>F134*G134</f>
        <v>0</v>
      </c>
      <c r="BK134" s="57" t="s">
        <v>190</v>
      </c>
      <c r="BL134" s="54"/>
      <c r="BW134" s="54">
        <v>21</v>
      </c>
      <c r="BX134" s="3" t="s">
        <v>406</v>
      </c>
    </row>
    <row r="135" spans="1:76" x14ac:dyDescent="0.25">
      <c r="A135" s="1" t="s">
        <v>408</v>
      </c>
      <c r="B135" s="2" t="s">
        <v>367</v>
      </c>
      <c r="C135" s="83" t="s">
        <v>368</v>
      </c>
      <c r="D135" s="78"/>
      <c r="E135" s="2" t="s">
        <v>369</v>
      </c>
      <c r="F135" s="54">
        <v>0.43790000000000001</v>
      </c>
      <c r="G135" s="55">
        <v>0</v>
      </c>
      <c r="H135" s="54">
        <f>ROUND(F135*AO135,2)</f>
        <v>0</v>
      </c>
      <c r="I135" s="54">
        <f>ROUND(F135*AP135,2)</f>
        <v>0</v>
      </c>
      <c r="J135" s="54">
        <f>ROUND(F135*G135,2)</f>
        <v>0</v>
      </c>
      <c r="K135" s="56" t="s">
        <v>4</v>
      </c>
      <c r="Z135" s="54">
        <f>ROUND(IF(AQ135="5",BJ135,0),2)</f>
        <v>0</v>
      </c>
      <c r="AB135" s="54">
        <f>ROUND(IF(AQ135="1",BH135,0),2)</f>
        <v>0</v>
      </c>
      <c r="AC135" s="54">
        <f>ROUND(IF(AQ135="1",BI135,0),2)</f>
        <v>0</v>
      </c>
      <c r="AD135" s="54">
        <f>ROUND(IF(AQ135="7",BH135,0),2)</f>
        <v>0</v>
      </c>
      <c r="AE135" s="54">
        <f>ROUND(IF(AQ135="7",BI135,0),2)</f>
        <v>0</v>
      </c>
      <c r="AF135" s="54">
        <f>ROUND(IF(AQ135="2",BH135,0),2)</f>
        <v>0</v>
      </c>
      <c r="AG135" s="54">
        <f>ROUND(IF(AQ135="2",BI135,0),2)</f>
        <v>0</v>
      </c>
      <c r="AH135" s="54">
        <f>ROUND(IF(AQ135="0",BJ135,0),2)</f>
        <v>0</v>
      </c>
      <c r="AI135" s="34" t="s">
        <v>375</v>
      </c>
      <c r="AJ135" s="54">
        <f>IF(AN135=0,J135,0)</f>
        <v>0</v>
      </c>
      <c r="AK135" s="54">
        <f>IF(AN135=0,J135,0)</f>
        <v>0</v>
      </c>
      <c r="AL135" s="54">
        <f>IF(AN135=21,J135,0)</f>
        <v>0</v>
      </c>
      <c r="AN135" s="54">
        <v>21</v>
      </c>
      <c r="AO135" s="54">
        <f>G135*1</f>
        <v>0</v>
      </c>
      <c r="AP135" s="54">
        <f>G135*(1-1)</f>
        <v>0</v>
      </c>
      <c r="AQ135" s="57" t="s">
        <v>194</v>
      </c>
      <c r="AV135" s="54">
        <f>ROUND(AW135+AX135,2)</f>
        <v>0</v>
      </c>
      <c r="AW135" s="54">
        <f>ROUND(F135*AO135,2)</f>
        <v>0</v>
      </c>
      <c r="AX135" s="54">
        <f>ROUND(F135*AP135,2)</f>
        <v>0</v>
      </c>
      <c r="AY135" s="57" t="s">
        <v>195</v>
      </c>
      <c r="AZ135" s="57" t="s">
        <v>407</v>
      </c>
      <c r="BA135" s="34" t="s">
        <v>379</v>
      </c>
      <c r="BC135" s="54">
        <f>AW135+AX135</f>
        <v>0</v>
      </c>
      <c r="BD135" s="54">
        <f>G135/(100-BE135)*100</f>
        <v>0</v>
      </c>
      <c r="BE135" s="54">
        <v>0</v>
      </c>
      <c r="BF135" s="54">
        <f>135</f>
        <v>135</v>
      </c>
      <c r="BH135" s="54">
        <f>F135*AO135</f>
        <v>0</v>
      </c>
      <c r="BI135" s="54">
        <f>F135*AP135</f>
        <v>0</v>
      </c>
      <c r="BJ135" s="54">
        <f>F135*G135</f>
        <v>0</v>
      </c>
      <c r="BK135" s="57" t="s">
        <v>190</v>
      </c>
      <c r="BL135" s="54"/>
      <c r="BW135" s="54">
        <v>21</v>
      </c>
      <c r="BX135" s="3" t="s">
        <v>368</v>
      </c>
    </row>
    <row r="136" spans="1:76" x14ac:dyDescent="0.25">
      <c r="A136" s="1" t="s">
        <v>409</v>
      </c>
      <c r="B136" s="2" t="s">
        <v>410</v>
      </c>
      <c r="C136" s="83" t="s">
        <v>411</v>
      </c>
      <c r="D136" s="78"/>
      <c r="E136" s="2" t="s">
        <v>276</v>
      </c>
      <c r="F136" s="54">
        <v>10.94</v>
      </c>
      <c r="G136" s="55">
        <v>0</v>
      </c>
      <c r="H136" s="54">
        <f>ROUND(F136*AO136,2)</f>
        <v>0</v>
      </c>
      <c r="I136" s="54">
        <f>ROUND(F136*AP136,2)</f>
        <v>0</v>
      </c>
      <c r="J136" s="54">
        <f>ROUND(F136*G136,2)</f>
        <v>0</v>
      </c>
      <c r="K136" s="56" t="s">
        <v>4</v>
      </c>
      <c r="Z136" s="54">
        <f>ROUND(IF(AQ136="5",BJ136,0),2)</f>
        <v>0</v>
      </c>
      <c r="AB136" s="54">
        <f>ROUND(IF(AQ136="1",BH136,0),2)</f>
        <v>0</v>
      </c>
      <c r="AC136" s="54">
        <f>ROUND(IF(AQ136="1",BI136,0),2)</f>
        <v>0</v>
      </c>
      <c r="AD136" s="54">
        <f>ROUND(IF(AQ136="7",BH136,0),2)</f>
        <v>0</v>
      </c>
      <c r="AE136" s="54">
        <f>ROUND(IF(AQ136="7",BI136,0),2)</f>
        <v>0</v>
      </c>
      <c r="AF136" s="54">
        <f>ROUND(IF(AQ136="2",BH136,0),2)</f>
        <v>0</v>
      </c>
      <c r="AG136" s="54">
        <f>ROUND(IF(AQ136="2",BI136,0),2)</f>
        <v>0</v>
      </c>
      <c r="AH136" s="54">
        <f>ROUND(IF(AQ136="0",BJ136,0),2)</f>
        <v>0</v>
      </c>
      <c r="AI136" s="34" t="s">
        <v>375</v>
      </c>
      <c r="AJ136" s="54">
        <f>IF(AN136=0,J136,0)</f>
        <v>0</v>
      </c>
      <c r="AK136" s="54">
        <f>IF(AN136=0,J136,0)</f>
        <v>0</v>
      </c>
      <c r="AL136" s="54">
        <f>IF(AN136=21,J136,0)</f>
        <v>0</v>
      </c>
      <c r="AN136" s="54">
        <v>21</v>
      </c>
      <c r="AO136" s="54">
        <f>G136*1</f>
        <v>0</v>
      </c>
      <c r="AP136" s="54">
        <f>G136*(1-1)</f>
        <v>0</v>
      </c>
      <c r="AQ136" s="57" t="s">
        <v>194</v>
      </c>
      <c r="AV136" s="54">
        <f>ROUND(AW136+AX136,2)</f>
        <v>0</v>
      </c>
      <c r="AW136" s="54">
        <f>ROUND(F136*AO136,2)</f>
        <v>0</v>
      </c>
      <c r="AX136" s="54">
        <f>ROUND(F136*AP136,2)</f>
        <v>0</v>
      </c>
      <c r="AY136" s="57" t="s">
        <v>195</v>
      </c>
      <c r="AZ136" s="57" t="s">
        <v>407</v>
      </c>
      <c r="BA136" s="34" t="s">
        <v>379</v>
      </c>
      <c r="BC136" s="54">
        <f>AW136+AX136</f>
        <v>0</v>
      </c>
      <c r="BD136" s="54">
        <f>G136/(100-BE136)*100</f>
        <v>0</v>
      </c>
      <c r="BE136" s="54">
        <v>0</v>
      </c>
      <c r="BF136" s="54">
        <f>136</f>
        <v>136</v>
      </c>
      <c r="BH136" s="54">
        <f>F136*AO136</f>
        <v>0</v>
      </c>
      <c r="BI136" s="54">
        <f>F136*AP136</f>
        <v>0</v>
      </c>
      <c r="BJ136" s="54">
        <f>F136*G136</f>
        <v>0</v>
      </c>
      <c r="BK136" s="57" t="s">
        <v>190</v>
      </c>
      <c r="BL136" s="54"/>
      <c r="BW136" s="54">
        <v>21</v>
      </c>
      <c r="BX136" s="3" t="s">
        <v>411</v>
      </c>
    </row>
    <row r="137" spans="1:76" x14ac:dyDescent="0.25">
      <c r="A137" s="1" t="s">
        <v>412</v>
      </c>
      <c r="B137" s="2" t="s">
        <v>278</v>
      </c>
      <c r="C137" s="83" t="s">
        <v>279</v>
      </c>
      <c r="D137" s="78"/>
      <c r="E137" s="2" t="s">
        <v>177</v>
      </c>
      <c r="F137" s="54">
        <v>4.38</v>
      </c>
      <c r="G137" s="55">
        <v>0</v>
      </c>
      <c r="H137" s="54">
        <f>ROUND(F137*AO137,2)</f>
        <v>0</v>
      </c>
      <c r="I137" s="54">
        <f>ROUND(F137*AP137,2)</f>
        <v>0</v>
      </c>
      <c r="J137" s="54">
        <f>ROUND(F137*G137,2)</f>
        <v>0</v>
      </c>
      <c r="K137" s="56" t="s">
        <v>120</v>
      </c>
      <c r="Z137" s="54">
        <f>ROUND(IF(AQ137="5",BJ137,0),2)</f>
        <v>0</v>
      </c>
      <c r="AB137" s="54">
        <f>ROUND(IF(AQ137="1",BH137,0),2)</f>
        <v>0</v>
      </c>
      <c r="AC137" s="54">
        <f>ROUND(IF(AQ137="1",BI137,0),2)</f>
        <v>0</v>
      </c>
      <c r="AD137" s="54">
        <f>ROUND(IF(AQ137="7",BH137,0),2)</f>
        <v>0</v>
      </c>
      <c r="AE137" s="54">
        <f>ROUND(IF(AQ137="7",BI137,0),2)</f>
        <v>0</v>
      </c>
      <c r="AF137" s="54">
        <f>ROUND(IF(AQ137="2",BH137,0),2)</f>
        <v>0</v>
      </c>
      <c r="AG137" s="54">
        <f>ROUND(IF(AQ137="2",BI137,0),2)</f>
        <v>0</v>
      </c>
      <c r="AH137" s="54">
        <f>ROUND(IF(AQ137="0",BJ137,0),2)</f>
        <v>0</v>
      </c>
      <c r="AI137" s="34" t="s">
        <v>375</v>
      </c>
      <c r="AJ137" s="54">
        <f>IF(AN137=0,J137,0)</f>
        <v>0</v>
      </c>
      <c r="AK137" s="54">
        <f>IF(AN137=0,J137,0)</f>
        <v>0</v>
      </c>
      <c r="AL137" s="54">
        <f>IF(AN137=21,J137,0)</f>
        <v>0</v>
      </c>
      <c r="AN137" s="54">
        <v>21</v>
      </c>
      <c r="AO137" s="54">
        <f>G137*1</f>
        <v>0</v>
      </c>
      <c r="AP137" s="54">
        <f>G137*(1-1)</f>
        <v>0</v>
      </c>
      <c r="AQ137" s="57" t="s">
        <v>194</v>
      </c>
      <c r="AV137" s="54">
        <f>ROUND(AW137+AX137,2)</f>
        <v>0</v>
      </c>
      <c r="AW137" s="54">
        <f>ROUND(F137*AO137,2)</f>
        <v>0</v>
      </c>
      <c r="AX137" s="54">
        <f>ROUND(F137*AP137,2)</f>
        <v>0</v>
      </c>
      <c r="AY137" s="57" t="s">
        <v>195</v>
      </c>
      <c r="AZ137" s="57" t="s">
        <v>407</v>
      </c>
      <c r="BA137" s="34" t="s">
        <v>379</v>
      </c>
      <c r="BC137" s="54">
        <f>AW137+AX137</f>
        <v>0</v>
      </c>
      <c r="BD137" s="54">
        <f>G137/(100-BE137)*100</f>
        <v>0</v>
      </c>
      <c r="BE137" s="54">
        <v>0</v>
      </c>
      <c r="BF137" s="54">
        <f>137</f>
        <v>137</v>
      </c>
      <c r="BH137" s="54">
        <f>F137*AO137</f>
        <v>0</v>
      </c>
      <c r="BI137" s="54">
        <f>F137*AP137</f>
        <v>0</v>
      </c>
      <c r="BJ137" s="54">
        <f>F137*G137</f>
        <v>0</v>
      </c>
      <c r="BK137" s="57" t="s">
        <v>190</v>
      </c>
      <c r="BL137" s="54"/>
      <c r="BW137" s="54">
        <v>21</v>
      </c>
      <c r="BX137" s="3" t="s">
        <v>279</v>
      </c>
    </row>
    <row r="138" spans="1:76" x14ac:dyDescent="0.25">
      <c r="A138" s="60" t="s">
        <v>4</v>
      </c>
      <c r="B138" s="61" t="s">
        <v>4</v>
      </c>
      <c r="C138" s="167" t="s">
        <v>413</v>
      </c>
      <c r="D138" s="168"/>
      <c r="E138" s="62" t="s">
        <v>69</v>
      </c>
      <c r="F138" s="62" t="s">
        <v>69</v>
      </c>
      <c r="G138" s="52" t="s">
        <v>69</v>
      </c>
      <c r="H138" s="63">
        <f>H139+H152+H157+H160+H162</f>
        <v>0</v>
      </c>
      <c r="I138" s="63">
        <f>I139+I152+I157+I160+I162</f>
        <v>0</v>
      </c>
      <c r="J138" s="63">
        <f>J139+J152+J157+J160+J162</f>
        <v>0</v>
      </c>
      <c r="K138" s="64" t="s">
        <v>4</v>
      </c>
    </row>
    <row r="139" spans="1:76" x14ac:dyDescent="0.25">
      <c r="A139" s="49" t="s">
        <v>4</v>
      </c>
      <c r="B139" s="50" t="s">
        <v>127</v>
      </c>
      <c r="C139" s="161" t="s">
        <v>128</v>
      </c>
      <c r="D139" s="162"/>
      <c r="E139" s="51" t="s">
        <v>69</v>
      </c>
      <c r="F139" s="51" t="s">
        <v>69</v>
      </c>
      <c r="G139" s="52" t="s">
        <v>69</v>
      </c>
      <c r="H139" s="28">
        <f>SUM(H140:H150)</f>
        <v>0</v>
      </c>
      <c r="I139" s="28">
        <f>SUM(I140:I150)</f>
        <v>0</v>
      </c>
      <c r="J139" s="28">
        <f>SUM(J140:J150)</f>
        <v>0</v>
      </c>
      <c r="K139" s="53" t="s">
        <v>4</v>
      </c>
      <c r="AI139" s="34" t="s">
        <v>414</v>
      </c>
      <c r="AS139" s="28">
        <f>SUM(AJ140:AJ150)</f>
        <v>0</v>
      </c>
      <c r="AT139" s="28">
        <f>SUM(AK140:AK150)</f>
        <v>0</v>
      </c>
      <c r="AU139" s="28">
        <f>SUM(AL140:AL150)</f>
        <v>0</v>
      </c>
    </row>
    <row r="140" spans="1:76" x14ac:dyDescent="0.25">
      <c r="A140" s="1" t="s">
        <v>415</v>
      </c>
      <c r="B140" s="2" t="s">
        <v>416</v>
      </c>
      <c r="C140" s="83" t="s">
        <v>417</v>
      </c>
      <c r="D140" s="78"/>
      <c r="E140" s="2" t="s">
        <v>418</v>
      </c>
      <c r="F140" s="54">
        <v>1</v>
      </c>
      <c r="G140" s="55">
        <v>0</v>
      </c>
      <c r="H140" s="54">
        <f>ROUND(F140*AO140,2)</f>
        <v>0</v>
      </c>
      <c r="I140" s="54">
        <f>ROUND(F140*AP140,2)</f>
        <v>0</v>
      </c>
      <c r="J140" s="54">
        <f>ROUND(F140*G140,2)</f>
        <v>0</v>
      </c>
      <c r="K140" s="56" t="s">
        <v>4</v>
      </c>
      <c r="Z140" s="54">
        <f>ROUND(IF(AQ140="5",BJ140,0),2)</f>
        <v>0</v>
      </c>
      <c r="AB140" s="54">
        <f>ROUND(IF(AQ140="1",BH140,0),2)</f>
        <v>0</v>
      </c>
      <c r="AC140" s="54">
        <f>ROUND(IF(AQ140="1",BI140,0),2)</f>
        <v>0</v>
      </c>
      <c r="AD140" s="54">
        <f>ROUND(IF(AQ140="7",BH140,0),2)</f>
        <v>0</v>
      </c>
      <c r="AE140" s="54">
        <f>ROUND(IF(AQ140="7",BI140,0),2)</f>
        <v>0</v>
      </c>
      <c r="AF140" s="54">
        <f>ROUND(IF(AQ140="2",BH140,0),2)</f>
        <v>0</v>
      </c>
      <c r="AG140" s="54">
        <f>ROUND(IF(AQ140="2",BI140,0),2)</f>
        <v>0</v>
      </c>
      <c r="AH140" s="54">
        <f>ROUND(IF(AQ140="0",BJ140,0),2)</f>
        <v>0</v>
      </c>
      <c r="AI140" s="34" t="s">
        <v>414</v>
      </c>
      <c r="AJ140" s="54">
        <f>IF(AN140=0,J140,0)</f>
        <v>0</v>
      </c>
      <c r="AK140" s="54">
        <f>IF(AN140=0,J140,0)</f>
        <v>0</v>
      </c>
      <c r="AL140" s="54">
        <f>IF(AN140=21,J140,0)</f>
        <v>0</v>
      </c>
      <c r="AN140" s="54">
        <v>21</v>
      </c>
      <c r="AO140" s="54">
        <f>G140*0</f>
        <v>0</v>
      </c>
      <c r="AP140" s="54">
        <f>G140*(1-0)</f>
        <v>0</v>
      </c>
      <c r="AQ140" s="57" t="s">
        <v>108</v>
      </c>
      <c r="AV140" s="54">
        <f>ROUND(AW140+AX140,2)</f>
        <v>0</v>
      </c>
      <c r="AW140" s="54">
        <f>ROUND(F140*AO140,2)</f>
        <v>0</v>
      </c>
      <c r="AX140" s="54">
        <f>ROUND(F140*AP140,2)</f>
        <v>0</v>
      </c>
      <c r="AY140" s="57" t="s">
        <v>132</v>
      </c>
      <c r="AZ140" s="57" t="s">
        <v>419</v>
      </c>
      <c r="BA140" s="34" t="s">
        <v>420</v>
      </c>
      <c r="BC140" s="54">
        <f>AW140+AX140</f>
        <v>0</v>
      </c>
      <c r="BD140" s="54">
        <f>G140/(100-BE140)*100</f>
        <v>0</v>
      </c>
      <c r="BE140" s="54">
        <v>0</v>
      </c>
      <c r="BF140" s="54">
        <f>140</f>
        <v>140</v>
      </c>
      <c r="BH140" s="54">
        <f>F140*AO140</f>
        <v>0</v>
      </c>
      <c r="BI140" s="54">
        <f>F140*AP140</f>
        <v>0</v>
      </c>
      <c r="BJ140" s="54">
        <f>F140*G140</f>
        <v>0</v>
      </c>
      <c r="BK140" s="57" t="s">
        <v>115</v>
      </c>
      <c r="BL140" s="54">
        <v>11</v>
      </c>
      <c r="BW140" s="54">
        <v>21</v>
      </c>
      <c r="BX140" s="3" t="s">
        <v>417</v>
      </c>
    </row>
    <row r="141" spans="1:76" x14ac:dyDescent="0.25">
      <c r="A141" s="1" t="s">
        <v>421</v>
      </c>
      <c r="B141" s="2" t="s">
        <v>422</v>
      </c>
      <c r="C141" s="83" t="s">
        <v>423</v>
      </c>
      <c r="D141" s="78"/>
      <c r="E141" s="2" t="s">
        <v>214</v>
      </c>
      <c r="F141" s="54">
        <v>1</v>
      </c>
      <c r="G141" s="55">
        <v>0</v>
      </c>
      <c r="H141" s="54">
        <f>ROUND(F141*AO141,2)</f>
        <v>0</v>
      </c>
      <c r="I141" s="54">
        <f>ROUND(F141*AP141,2)</f>
        <v>0</v>
      </c>
      <c r="J141" s="54">
        <f>ROUND(F141*G141,2)</f>
        <v>0</v>
      </c>
      <c r="K141" s="56" t="s">
        <v>4</v>
      </c>
      <c r="Z141" s="54">
        <f>ROUND(IF(AQ141="5",BJ141,0),2)</f>
        <v>0</v>
      </c>
      <c r="AB141" s="54">
        <f>ROUND(IF(AQ141="1",BH141,0),2)</f>
        <v>0</v>
      </c>
      <c r="AC141" s="54">
        <f>ROUND(IF(AQ141="1",BI141,0),2)</f>
        <v>0</v>
      </c>
      <c r="AD141" s="54">
        <f>ROUND(IF(AQ141="7",BH141,0),2)</f>
        <v>0</v>
      </c>
      <c r="AE141" s="54">
        <f>ROUND(IF(AQ141="7",BI141,0),2)</f>
        <v>0</v>
      </c>
      <c r="AF141" s="54">
        <f>ROUND(IF(AQ141="2",BH141,0),2)</f>
        <v>0</v>
      </c>
      <c r="AG141" s="54">
        <f>ROUND(IF(AQ141="2",BI141,0),2)</f>
        <v>0</v>
      </c>
      <c r="AH141" s="54">
        <f>ROUND(IF(AQ141="0",BJ141,0),2)</f>
        <v>0</v>
      </c>
      <c r="AI141" s="34" t="s">
        <v>414</v>
      </c>
      <c r="AJ141" s="54">
        <f>IF(AN141=0,J141,0)</f>
        <v>0</v>
      </c>
      <c r="AK141" s="54">
        <f>IF(AN141=0,J141,0)</f>
        <v>0</v>
      </c>
      <c r="AL141" s="54">
        <f>IF(AN141=21,J141,0)</f>
        <v>0</v>
      </c>
      <c r="AN141" s="54">
        <v>21</v>
      </c>
      <c r="AO141" s="54">
        <f>G141*0</f>
        <v>0</v>
      </c>
      <c r="AP141" s="54">
        <f>G141*(1-0)</f>
        <v>0</v>
      </c>
      <c r="AQ141" s="57" t="s">
        <v>108</v>
      </c>
      <c r="AV141" s="54">
        <f>ROUND(AW141+AX141,2)</f>
        <v>0</v>
      </c>
      <c r="AW141" s="54">
        <f>ROUND(F141*AO141,2)</f>
        <v>0</v>
      </c>
      <c r="AX141" s="54">
        <f>ROUND(F141*AP141,2)</f>
        <v>0</v>
      </c>
      <c r="AY141" s="57" t="s">
        <v>132</v>
      </c>
      <c r="AZ141" s="57" t="s">
        <v>419</v>
      </c>
      <c r="BA141" s="34" t="s">
        <v>420</v>
      </c>
      <c r="BC141" s="54">
        <f>AW141+AX141</f>
        <v>0</v>
      </c>
      <c r="BD141" s="54">
        <f>G141/(100-BE141)*100</f>
        <v>0</v>
      </c>
      <c r="BE141" s="54">
        <v>0</v>
      </c>
      <c r="BF141" s="54">
        <f>141</f>
        <v>141</v>
      </c>
      <c r="BH141" s="54">
        <f>F141*AO141</f>
        <v>0</v>
      </c>
      <c r="BI141" s="54">
        <f>F141*AP141</f>
        <v>0</v>
      </c>
      <c r="BJ141" s="54">
        <f>F141*G141</f>
        <v>0</v>
      </c>
      <c r="BK141" s="57" t="s">
        <v>115</v>
      </c>
      <c r="BL141" s="54">
        <v>11</v>
      </c>
      <c r="BW141" s="54">
        <v>21</v>
      </c>
      <c r="BX141" s="3" t="s">
        <v>423</v>
      </c>
    </row>
    <row r="142" spans="1:76" x14ac:dyDescent="0.25">
      <c r="A142" s="1" t="s">
        <v>424</v>
      </c>
      <c r="B142" s="2" t="s">
        <v>425</v>
      </c>
      <c r="C142" s="83" t="s">
        <v>426</v>
      </c>
      <c r="D142" s="78"/>
      <c r="E142" s="2" t="s">
        <v>119</v>
      </c>
      <c r="F142" s="54">
        <v>70.2</v>
      </c>
      <c r="G142" s="55">
        <v>0</v>
      </c>
      <c r="H142" s="54">
        <f>ROUND(F142*AO142,2)</f>
        <v>0</v>
      </c>
      <c r="I142" s="54">
        <f>ROUND(F142*AP142,2)</f>
        <v>0</v>
      </c>
      <c r="J142" s="54">
        <f>ROUND(F142*G142,2)</f>
        <v>0</v>
      </c>
      <c r="K142" s="56" t="s">
        <v>120</v>
      </c>
      <c r="Z142" s="54">
        <f>ROUND(IF(AQ142="5",BJ142,0),2)</f>
        <v>0</v>
      </c>
      <c r="AB142" s="54">
        <f>ROUND(IF(AQ142="1",BH142,0),2)</f>
        <v>0</v>
      </c>
      <c r="AC142" s="54">
        <f>ROUND(IF(AQ142="1",BI142,0),2)</f>
        <v>0</v>
      </c>
      <c r="AD142" s="54">
        <f>ROUND(IF(AQ142="7",BH142,0),2)</f>
        <v>0</v>
      </c>
      <c r="AE142" s="54">
        <f>ROUND(IF(AQ142="7",BI142,0),2)</f>
        <v>0</v>
      </c>
      <c r="AF142" s="54">
        <f>ROUND(IF(AQ142="2",BH142,0),2)</f>
        <v>0</v>
      </c>
      <c r="AG142" s="54">
        <f>ROUND(IF(AQ142="2",BI142,0),2)</f>
        <v>0</v>
      </c>
      <c r="AH142" s="54">
        <f>ROUND(IF(AQ142="0",BJ142,0),2)</f>
        <v>0</v>
      </c>
      <c r="AI142" s="34" t="s">
        <v>414</v>
      </c>
      <c r="AJ142" s="54">
        <f>IF(AN142=0,J142,0)</f>
        <v>0</v>
      </c>
      <c r="AK142" s="54">
        <f>IF(AN142=0,J142,0)</f>
        <v>0</v>
      </c>
      <c r="AL142" s="54">
        <f>IF(AN142=21,J142,0)</f>
        <v>0</v>
      </c>
      <c r="AN142" s="54">
        <v>21</v>
      </c>
      <c r="AO142" s="54">
        <f>G142*0</f>
        <v>0</v>
      </c>
      <c r="AP142" s="54">
        <f>G142*(1-0)</f>
        <v>0</v>
      </c>
      <c r="AQ142" s="57" t="s">
        <v>108</v>
      </c>
      <c r="AV142" s="54">
        <f>ROUND(AW142+AX142,2)</f>
        <v>0</v>
      </c>
      <c r="AW142" s="54">
        <f>ROUND(F142*AO142,2)</f>
        <v>0</v>
      </c>
      <c r="AX142" s="54">
        <f>ROUND(F142*AP142,2)</f>
        <v>0</v>
      </c>
      <c r="AY142" s="57" t="s">
        <v>132</v>
      </c>
      <c r="AZ142" s="57" t="s">
        <v>419</v>
      </c>
      <c r="BA142" s="34" t="s">
        <v>420</v>
      </c>
      <c r="BC142" s="54">
        <f>AW142+AX142</f>
        <v>0</v>
      </c>
      <c r="BD142" s="54">
        <f>G142/(100-BE142)*100</f>
        <v>0</v>
      </c>
      <c r="BE142" s="54">
        <v>0</v>
      </c>
      <c r="BF142" s="54">
        <f>142</f>
        <v>142</v>
      </c>
      <c r="BH142" s="54">
        <f>F142*AO142</f>
        <v>0</v>
      </c>
      <c r="BI142" s="54">
        <f>F142*AP142</f>
        <v>0</v>
      </c>
      <c r="BJ142" s="54">
        <f>F142*G142</f>
        <v>0</v>
      </c>
      <c r="BK142" s="57" t="s">
        <v>115</v>
      </c>
      <c r="BL142" s="54">
        <v>11</v>
      </c>
      <c r="BW142" s="54">
        <v>21</v>
      </c>
      <c r="BX142" s="3" t="s">
        <v>426</v>
      </c>
    </row>
    <row r="143" spans="1:76" x14ac:dyDescent="0.25">
      <c r="A143" s="1" t="s">
        <v>427</v>
      </c>
      <c r="B143" s="2" t="s">
        <v>428</v>
      </c>
      <c r="C143" s="83" t="s">
        <v>429</v>
      </c>
      <c r="D143" s="78"/>
      <c r="E143" s="2" t="s">
        <v>177</v>
      </c>
      <c r="F143" s="54">
        <v>22.85</v>
      </c>
      <c r="G143" s="55">
        <v>0</v>
      </c>
      <c r="H143" s="54">
        <f>ROUND(F143*AO143,2)</f>
        <v>0</v>
      </c>
      <c r="I143" s="54">
        <f>ROUND(F143*AP143,2)</f>
        <v>0</v>
      </c>
      <c r="J143" s="54">
        <f>ROUND(F143*G143,2)</f>
        <v>0</v>
      </c>
      <c r="K143" s="56" t="s">
        <v>120</v>
      </c>
      <c r="Z143" s="54">
        <f>ROUND(IF(AQ143="5",BJ143,0),2)</f>
        <v>0</v>
      </c>
      <c r="AB143" s="54">
        <f>ROUND(IF(AQ143="1",BH143,0),2)</f>
        <v>0</v>
      </c>
      <c r="AC143" s="54">
        <f>ROUND(IF(AQ143="1",BI143,0),2)</f>
        <v>0</v>
      </c>
      <c r="AD143" s="54">
        <f>ROUND(IF(AQ143="7",BH143,0),2)</f>
        <v>0</v>
      </c>
      <c r="AE143" s="54">
        <f>ROUND(IF(AQ143="7",BI143,0),2)</f>
        <v>0</v>
      </c>
      <c r="AF143" s="54">
        <f>ROUND(IF(AQ143="2",BH143,0),2)</f>
        <v>0</v>
      </c>
      <c r="AG143" s="54">
        <f>ROUND(IF(AQ143="2",BI143,0),2)</f>
        <v>0</v>
      </c>
      <c r="AH143" s="54">
        <f>ROUND(IF(AQ143="0",BJ143,0),2)</f>
        <v>0</v>
      </c>
      <c r="AI143" s="34" t="s">
        <v>414</v>
      </c>
      <c r="AJ143" s="54">
        <f>IF(AN143=0,J143,0)</f>
        <v>0</v>
      </c>
      <c r="AK143" s="54">
        <f>IF(AN143=0,J143,0)</f>
        <v>0</v>
      </c>
      <c r="AL143" s="54">
        <f>IF(AN143=21,J143,0)</f>
        <v>0</v>
      </c>
      <c r="AN143" s="54">
        <v>21</v>
      </c>
      <c r="AO143" s="54">
        <f>G143*0</f>
        <v>0</v>
      </c>
      <c r="AP143" s="54">
        <f>G143*(1-0)</f>
        <v>0</v>
      </c>
      <c r="AQ143" s="57" t="s">
        <v>108</v>
      </c>
      <c r="AV143" s="54">
        <f>ROUND(AW143+AX143,2)</f>
        <v>0</v>
      </c>
      <c r="AW143" s="54">
        <f>ROUND(F143*AO143,2)</f>
        <v>0</v>
      </c>
      <c r="AX143" s="54">
        <f>ROUND(F143*AP143,2)</f>
        <v>0</v>
      </c>
      <c r="AY143" s="57" t="s">
        <v>132</v>
      </c>
      <c r="AZ143" s="57" t="s">
        <v>419</v>
      </c>
      <c r="BA143" s="34" t="s">
        <v>420</v>
      </c>
      <c r="BC143" s="54">
        <f>AW143+AX143</f>
        <v>0</v>
      </c>
      <c r="BD143" s="54">
        <f>G143/(100-BE143)*100</f>
        <v>0</v>
      </c>
      <c r="BE143" s="54">
        <v>0</v>
      </c>
      <c r="BF143" s="54">
        <f>143</f>
        <v>143</v>
      </c>
      <c r="BH143" s="54">
        <f>F143*AO143</f>
        <v>0</v>
      </c>
      <c r="BI143" s="54">
        <f>F143*AP143</f>
        <v>0</v>
      </c>
      <c r="BJ143" s="54">
        <f>F143*G143</f>
        <v>0</v>
      </c>
      <c r="BK143" s="57" t="s">
        <v>115</v>
      </c>
      <c r="BL143" s="54">
        <v>11</v>
      </c>
      <c r="BW143" s="54">
        <v>21</v>
      </c>
      <c r="BX143" s="3" t="s">
        <v>429</v>
      </c>
    </row>
    <row r="144" spans="1:76" ht="67.5" customHeight="1" x14ac:dyDescent="0.25">
      <c r="A144" s="58"/>
      <c r="B144" s="59" t="s">
        <v>53</v>
      </c>
      <c r="C144" s="163" t="s">
        <v>430</v>
      </c>
      <c r="D144" s="164"/>
      <c r="E144" s="164"/>
      <c r="F144" s="164"/>
      <c r="G144" s="165"/>
      <c r="H144" s="164"/>
      <c r="I144" s="164"/>
      <c r="J144" s="164"/>
      <c r="K144" s="166"/>
    </row>
    <row r="145" spans="1:76" ht="25.5" x14ac:dyDescent="0.25">
      <c r="A145" s="1" t="s">
        <v>431</v>
      </c>
      <c r="B145" s="2" t="s">
        <v>432</v>
      </c>
      <c r="C145" s="83" t="s">
        <v>433</v>
      </c>
      <c r="D145" s="78"/>
      <c r="E145" s="2" t="s">
        <v>177</v>
      </c>
      <c r="F145" s="54">
        <v>11.1</v>
      </c>
      <c r="G145" s="55">
        <v>0</v>
      </c>
      <c r="H145" s="54">
        <f>ROUND(F145*AO145,2)</f>
        <v>0</v>
      </c>
      <c r="I145" s="54">
        <f>ROUND(F145*AP145,2)</f>
        <v>0</v>
      </c>
      <c r="J145" s="54">
        <f>ROUND(F145*G145,2)</f>
        <v>0</v>
      </c>
      <c r="K145" s="56" t="s">
        <v>4</v>
      </c>
      <c r="Z145" s="54">
        <f>ROUND(IF(AQ145="5",BJ145,0),2)</f>
        <v>0</v>
      </c>
      <c r="AB145" s="54">
        <f>ROUND(IF(AQ145="1",BH145,0),2)</f>
        <v>0</v>
      </c>
      <c r="AC145" s="54">
        <f>ROUND(IF(AQ145="1",BI145,0),2)</f>
        <v>0</v>
      </c>
      <c r="AD145" s="54">
        <f>ROUND(IF(AQ145="7",BH145,0),2)</f>
        <v>0</v>
      </c>
      <c r="AE145" s="54">
        <f>ROUND(IF(AQ145="7",BI145,0),2)</f>
        <v>0</v>
      </c>
      <c r="AF145" s="54">
        <f>ROUND(IF(AQ145="2",BH145,0),2)</f>
        <v>0</v>
      </c>
      <c r="AG145" s="54">
        <f>ROUND(IF(AQ145="2",BI145,0),2)</f>
        <v>0</v>
      </c>
      <c r="AH145" s="54">
        <f>ROUND(IF(AQ145="0",BJ145,0),2)</f>
        <v>0</v>
      </c>
      <c r="AI145" s="34" t="s">
        <v>414</v>
      </c>
      <c r="AJ145" s="54">
        <f>IF(AN145=0,J145,0)</f>
        <v>0</v>
      </c>
      <c r="AK145" s="54">
        <f>IF(AN145=0,J145,0)</f>
        <v>0</v>
      </c>
      <c r="AL145" s="54">
        <f>IF(AN145=21,J145,0)</f>
        <v>0</v>
      </c>
      <c r="AN145" s="54">
        <v>21</v>
      </c>
      <c r="AO145" s="54">
        <f>G145*0</f>
        <v>0</v>
      </c>
      <c r="AP145" s="54">
        <f>G145*(1-0)</f>
        <v>0</v>
      </c>
      <c r="AQ145" s="57" t="s">
        <v>108</v>
      </c>
      <c r="AV145" s="54">
        <f>ROUND(AW145+AX145,2)</f>
        <v>0</v>
      </c>
      <c r="AW145" s="54">
        <f>ROUND(F145*AO145,2)</f>
        <v>0</v>
      </c>
      <c r="AX145" s="54">
        <f>ROUND(F145*AP145,2)</f>
        <v>0</v>
      </c>
      <c r="AY145" s="57" t="s">
        <v>132</v>
      </c>
      <c r="AZ145" s="57" t="s">
        <v>419</v>
      </c>
      <c r="BA145" s="34" t="s">
        <v>420</v>
      </c>
      <c r="BC145" s="54">
        <f>AW145+AX145</f>
        <v>0</v>
      </c>
      <c r="BD145" s="54">
        <f>G145/(100-BE145)*100</f>
        <v>0</v>
      </c>
      <c r="BE145" s="54">
        <v>0</v>
      </c>
      <c r="BF145" s="54">
        <f>145</f>
        <v>145</v>
      </c>
      <c r="BH145" s="54">
        <f>F145*AO145</f>
        <v>0</v>
      </c>
      <c r="BI145" s="54">
        <f>F145*AP145</f>
        <v>0</v>
      </c>
      <c r="BJ145" s="54">
        <f>F145*G145</f>
        <v>0</v>
      </c>
      <c r="BK145" s="57" t="s">
        <v>115</v>
      </c>
      <c r="BL145" s="54">
        <v>11</v>
      </c>
      <c r="BW145" s="54">
        <v>21</v>
      </c>
      <c r="BX145" s="3" t="s">
        <v>433</v>
      </c>
    </row>
    <row r="146" spans="1:76" ht="27" customHeight="1" x14ac:dyDescent="0.25">
      <c r="A146" s="58"/>
      <c r="B146" s="59" t="s">
        <v>53</v>
      </c>
      <c r="C146" s="163" t="s">
        <v>434</v>
      </c>
      <c r="D146" s="164"/>
      <c r="E146" s="164"/>
      <c r="F146" s="164"/>
      <c r="G146" s="165"/>
      <c r="H146" s="164"/>
      <c r="I146" s="164"/>
      <c r="J146" s="164"/>
      <c r="K146" s="166"/>
    </row>
    <row r="147" spans="1:76" x14ac:dyDescent="0.25">
      <c r="A147" s="1" t="s">
        <v>435</v>
      </c>
      <c r="B147" s="2" t="s">
        <v>436</v>
      </c>
      <c r="C147" s="83" t="s">
        <v>437</v>
      </c>
      <c r="D147" s="78"/>
      <c r="E147" s="2" t="s">
        <v>119</v>
      </c>
      <c r="F147" s="54">
        <v>70.2</v>
      </c>
      <c r="G147" s="55">
        <v>0</v>
      </c>
      <c r="H147" s="54">
        <f>ROUND(F147*AO147,2)</f>
        <v>0</v>
      </c>
      <c r="I147" s="54">
        <f>ROUND(F147*AP147,2)</f>
        <v>0</v>
      </c>
      <c r="J147" s="54">
        <f>ROUND(F147*G147,2)</f>
        <v>0</v>
      </c>
      <c r="K147" s="56" t="s">
        <v>120</v>
      </c>
      <c r="Z147" s="54">
        <f>ROUND(IF(AQ147="5",BJ147,0),2)</f>
        <v>0</v>
      </c>
      <c r="AB147" s="54">
        <f>ROUND(IF(AQ147="1",BH147,0),2)</f>
        <v>0</v>
      </c>
      <c r="AC147" s="54">
        <f>ROUND(IF(AQ147="1",BI147,0),2)</f>
        <v>0</v>
      </c>
      <c r="AD147" s="54">
        <f>ROUND(IF(AQ147="7",BH147,0),2)</f>
        <v>0</v>
      </c>
      <c r="AE147" s="54">
        <f>ROUND(IF(AQ147="7",BI147,0),2)</f>
        <v>0</v>
      </c>
      <c r="AF147" s="54">
        <f>ROUND(IF(AQ147="2",BH147,0),2)</f>
        <v>0</v>
      </c>
      <c r="AG147" s="54">
        <f>ROUND(IF(AQ147="2",BI147,0),2)</f>
        <v>0</v>
      </c>
      <c r="AH147" s="54">
        <f>ROUND(IF(AQ147="0",BJ147,0),2)</f>
        <v>0</v>
      </c>
      <c r="AI147" s="34" t="s">
        <v>414</v>
      </c>
      <c r="AJ147" s="54">
        <f>IF(AN147=0,J147,0)</f>
        <v>0</v>
      </c>
      <c r="AK147" s="54">
        <f>IF(AN147=0,J147,0)</f>
        <v>0</v>
      </c>
      <c r="AL147" s="54">
        <f>IF(AN147=21,J147,0)</f>
        <v>0</v>
      </c>
      <c r="AN147" s="54">
        <v>21</v>
      </c>
      <c r="AO147" s="54">
        <f>G147*0.721020165</f>
        <v>0</v>
      </c>
      <c r="AP147" s="54">
        <f>G147*(1-0.721020165)</f>
        <v>0</v>
      </c>
      <c r="AQ147" s="57" t="s">
        <v>108</v>
      </c>
      <c r="AV147" s="54">
        <f>ROUND(AW147+AX147,2)</f>
        <v>0</v>
      </c>
      <c r="AW147" s="54">
        <f>ROUND(F147*AO147,2)</f>
        <v>0</v>
      </c>
      <c r="AX147" s="54">
        <f>ROUND(F147*AP147,2)</f>
        <v>0</v>
      </c>
      <c r="AY147" s="57" t="s">
        <v>132</v>
      </c>
      <c r="AZ147" s="57" t="s">
        <v>419</v>
      </c>
      <c r="BA147" s="34" t="s">
        <v>420</v>
      </c>
      <c r="BC147" s="54">
        <f>AW147+AX147</f>
        <v>0</v>
      </c>
      <c r="BD147" s="54">
        <f>G147/(100-BE147)*100</f>
        <v>0</v>
      </c>
      <c r="BE147" s="54">
        <v>0</v>
      </c>
      <c r="BF147" s="54">
        <f>147</f>
        <v>147</v>
      </c>
      <c r="BH147" s="54">
        <f>F147*AO147</f>
        <v>0</v>
      </c>
      <c r="BI147" s="54">
        <f>F147*AP147</f>
        <v>0</v>
      </c>
      <c r="BJ147" s="54">
        <f>F147*G147</f>
        <v>0</v>
      </c>
      <c r="BK147" s="57" t="s">
        <v>115</v>
      </c>
      <c r="BL147" s="54">
        <v>11</v>
      </c>
      <c r="BW147" s="54">
        <v>21</v>
      </c>
      <c r="BX147" s="3" t="s">
        <v>437</v>
      </c>
    </row>
    <row r="148" spans="1:76" ht="13.5" customHeight="1" x14ac:dyDescent="0.25">
      <c r="A148" s="58"/>
      <c r="B148" s="59" t="s">
        <v>53</v>
      </c>
      <c r="C148" s="163" t="s">
        <v>438</v>
      </c>
      <c r="D148" s="164"/>
      <c r="E148" s="164"/>
      <c r="F148" s="164"/>
      <c r="G148" s="165"/>
      <c r="H148" s="164"/>
      <c r="I148" s="164"/>
      <c r="J148" s="164"/>
      <c r="K148" s="166"/>
    </row>
    <row r="149" spans="1:76" ht="25.5" x14ac:dyDescent="0.25">
      <c r="A149" s="1" t="s">
        <v>439</v>
      </c>
      <c r="B149" s="2" t="s">
        <v>256</v>
      </c>
      <c r="C149" s="83" t="s">
        <v>440</v>
      </c>
      <c r="D149" s="78"/>
      <c r="E149" s="2" t="s">
        <v>177</v>
      </c>
      <c r="F149" s="54">
        <v>0.7</v>
      </c>
      <c r="G149" s="55">
        <v>0</v>
      </c>
      <c r="H149" s="54">
        <f>ROUND(F149*AO149,2)</f>
        <v>0</v>
      </c>
      <c r="I149" s="54">
        <f>ROUND(F149*AP149,2)</f>
        <v>0</v>
      </c>
      <c r="J149" s="54">
        <f>ROUND(F149*G149,2)</f>
        <v>0</v>
      </c>
      <c r="K149" s="56" t="s">
        <v>120</v>
      </c>
      <c r="Z149" s="54">
        <f>ROUND(IF(AQ149="5",BJ149,0),2)</f>
        <v>0</v>
      </c>
      <c r="AB149" s="54">
        <f>ROUND(IF(AQ149="1",BH149,0),2)</f>
        <v>0</v>
      </c>
      <c r="AC149" s="54">
        <f>ROUND(IF(AQ149="1",BI149,0),2)</f>
        <v>0</v>
      </c>
      <c r="AD149" s="54">
        <f>ROUND(IF(AQ149="7",BH149,0),2)</f>
        <v>0</v>
      </c>
      <c r="AE149" s="54">
        <f>ROUND(IF(AQ149="7",BI149,0),2)</f>
        <v>0</v>
      </c>
      <c r="AF149" s="54">
        <f>ROUND(IF(AQ149="2",BH149,0),2)</f>
        <v>0</v>
      </c>
      <c r="AG149" s="54">
        <f>ROUND(IF(AQ149="2",BI149,0),2)</f>
        <v>0</v>
      </c>
      <c r="AH149" s="54">
        <f>ROUND(IF(AQ149="0",BJ149,0),2)</f>
        <v>0</v>
      </c>
      <c r="AI149" s="34" t="s">
        <v>414</v>
      </c>
      <c r="AJ149" s="54">
        <f>IF(AN149=0,J149,0)</f>
        <v>0</v>
      </c>
      <c r="AK149" s="54">
        <f>IF(AN149=0,J149,0)</f>
        <v>0</v>
      </c>
      <c r="AL149" s="54">
        <f>IF(AN149=21,J149,0)</f>
        <v>0</v>
      </c>
      <c r="AN149" s="54">
        <v>21</v>
      </c>
      <c r="AO149" s="54">
        <f>G149*0</f>
        <v>0</v>
      </c>
      <c r="AP149" s="54">
        <f>G149*(1-0)</f>
        <v>0</v>
      </c>
      <c r="AQ149" s="57" t="s">
        <v>108</v>
      </c>
      <c r="AV149" s="54">
        <f>ROUND(AW149+AX149,2)</f>
        <v>0</v>
      </c>
      <c r="AW149" s="54">
        <f>ROUND(F149*AO149,2)</f>
        <v>0</v>
      </c>
      <c r="AX149" s="54">
        <f>ROUND(F149*AP149,2)</f>
        <v>0</v>
      </c>
      <c r="AY149" s="57" t="s">
        <v>132</v>
      </c>
      <c r="AZ149" s="57" t="s">
        <v>419</v>
      </c>
      <c r="BA149" s="34" t="s">
        <v>420</v>
      </c>
      <c r="BC149" s="54">
        <f>AW149+AX149</f>
        <v>0</v>
      </c>
      <c r="BD149" s="54">
        <f>G149/(100-BE149)*100</f>
        <v>0</v>
      </c>
      <c r="BE149" s="54">
        <v>0</v>
      </c>
      <c r="BF149" s="54">
        <f>149</f>
        <v>149</v>
      </c>
      <c r="BH149" s="54">
        <f>F149*AO149</f>
        <v>0</v>
      </c>
      <c r="BI149" s="54">
        <f>F149*AP149</f>
        <v>0</v>
      </c>
      <c r="BJ149" s="54">
        <f>F149*G149</f>
        <v>0</v>
      </c>
      <c r="BK149" s="57" t="s">
        <v>115</v>
      </c>
      <c r="BL149" s="54">
        <v>11</v>
      </c>
      <c r="BW149" s="54">
        <v>21</v>
      </c>
      <c r="BX149" s="3" t="s">
        <v>440</v>
      </c>
    </row>
    <row r="150" spans="1:76" x14ac:dyDescent="0.25">
      <c r="A150" s="1" t="s">
        <v>441</v>
      </c>
      <c r="B150" s="2" t="s">
        <v>442</v>
      </c>
      <c r="C150" s="83" t="s">
        <v>443</v>
      </c>
      <c r="D150" s="78"/>
      <c r="E150" s="2" t="s">
        <v>444</v>
      </c>
      <c r="F150" s="54">
        <v>160</v>
      </c>
      <c r="G150" s="55">
        <v>0</v>
      </c>
      <c r="H150" s="54">
        <f>ROUND(F150*AO150,2)</f>
        <v>0</v>
      </c>
      <c r="I150" s="54">
        <f>ROUND(F150*AP150,2)</f>
        <v>0</v>
      </c>
      <c r="J150" s="54">
        <f>ROUND(F150*G150,2)</f>
        <v>0</v>
      </c>
      <c r="K150" s="56" t="s">
        <v>4</v>
      </c>
      <c r="Z150" s="54">
        <f>ROUND(IF(AQ150="5",BJ150,0),2)</f>
        <v>0</v>
      </c>
      <c r="AB150" s="54">
        <f>ROUND(IF(AQ150="1",BH150,0),2)</f>
        <v>0</v>
      </c>
      <c r="AC150" s="54">
        <f>ROUND(IF(AQ150="1",BI150,0),2)</f>
        <v>0</v>
      </c>
      <c r="AD150" s="54">
        <f>ROUND(IF(AQ150="7",BH150,0),2)</f>
        <v>0</v>
      </c>
      <c r="AE150" s="54">
        <f>ROUND(IF(AQ150="7",BI150,0),2)</f>
        <v>0</v>
      </c>
      <c r="AF150" s="54">
        <f>ROUND(IF(AQ150="2",BH150,0),2)</f>
        <v>0</v>
      </c>
      <c r="AG150" s="54">
        <f>ROUND(IF(AQ150="2",BI150,0),2)</f>
        <v>0</v>
      </c>
      <c r="AH150" s="54">
        <f>ROUND(IF(AQ150="0",BJ150,0),2)</f>
        <v>0</v>
      </c>
      <c r="AI150" s="34" t="s">
        <v>414</v>
      </c>
      <c r="AJ150" s="54">
        <f>IF(AN150=0,J150,0)</f>
        <v>0</v>
      </c>
      <c r="AK150" s="54">
        <f>IF(AN150=0,J150,0)</f>
        <v>0</v>
      </c>
      <c r="AL150" s="54">
        <f>IF(AN150=21,J150,0)</f>
        <v>0</v>
      </c>
      <c r="AN150" s="54">
        <v>21</v>
      </c>
      <c r="AO150" s="54">
        <f>G150*0</f>
        <v>0</v>
      </c>
      <c r="AP150" s="54">
        <f>G150*(1-0)</f>
        <v>0</v>
      </c>
      <c r="AQ150" s="57" t="s">
        <v>129</v>
      </c>
      <c r="AV150" s="54">
        <f>ROUND(AW150+AX150,2)</f>
        <v>0</v>
      </c>
      <c r="AW150" s="54">
        <f>ROUND(F150*AO150,2)</f>
        <v>0</v>
      </c>
      <c r="AX150" s="54">
        <f>ROUND(F150*AP150,2)</f>
        <v>0</v>
      </c>
      <c r="AY150" s="57" t="s">
        <v>132</v>
      </c>
      <c r="AZ150" s="57" t="s">
        <v>419</v>
      </c>
      <c r="BA150" s="34" t="s">
        <v>420</v>
      </c>
      <c r="BC150" s="54">
        <f>AW150+AX150</f>
        <v>0</v>
      </c>
      <c r="BD150" s="54">
        <f>G150/(100-BE150)*100</f>
        <v>0</v>
      </c>
      <c r="BE150" s="54">
        <v>0</v>
      </c>
      <c r="BF150" s="54">
        <f>150</f>
        <v>150</v>
      </c>
      <c r="BH150" s="54">
        <f>F150*AO150</f>
        <v>0</v>
      </c>
      <c r="BI150" s="54">
        <f>F150*AP150</f>
        <v>0</v>
      </c>
      <c r="BJ150" s="54">
        <f>F150*G150</f>
        <v>0</v>
      </c>
      <c r="BK150" s="57" t="s">
        <v>115</v>
      </c>
      <c r="BL150" s="54">
        <v>11</v>
      </c>
      <c r="BW150" s="54">
        <v>21</v>
      </c>
      <c r="BX150" s="3" t="s">
        <v>443</v>
      </c>
    </row>
    <row r="151" spans="1:76" ht="40.5" customHeight="1" x14ac:dyDescent="0.25">
      <c r="A151" s="58"/>
      <c r="B151" s="59" t="s">
        <v>53</v>
      </c>
      <c r="C151" s="163" t="s">
        <v>445</v>
      </c>
      <c r="D151" s="164"/>
      <c r="E151" s="164"/>
      <c r="F151" s="164"/>
      <c r="G151" s="165"/>
      <c r="H151" s="164"/>
      <c r="I151" s="164"/>
      <c r="J151" s="164"/>
      <c r="K151" s="166"/>
    </row>
    <row r="152" spans="1:76" x14ac:dyDescent="0.25">
      <c r="A152" s="49" t="s">
        <v>4</v>
      </c>
      <c r="B152" s="50" t="s">
        <v>140</v>
      </c>
      <c r="C152" s="161" t="s">
        <v>141</v>
      </c>
      <c r="D152" s="162"/>
      <c r="E152" s="51" t="s">
        <v>69</v>
      </c>
      <c r="F152" s="51" t="s">
        <v>69</v>
      </c>
      <c r="G152" s="52" t="s">
        <v>69</v>
      </c>
      <c r="H152" s="28">
        <f>SUM(H153:H156)</f>
        <v>0</v>
      </c>
      <c r="I152" s="28">
        <f>SUM(I153:I156)</f>
        <v>0</v>
      </c>
      <c r="J152" s="28">
        <f>SUM(J153:J156)</f>
        <v>0</v>
      </c>
      <c r="K152" s="53" t="s">
        <v>4</v>
      </c>
      <c r="AI152" s="34" t="s">
        <v>414</v>
      </c>
      <c r="AS152" s="28">
        <f>SUM(AJ153:AJ156)</f>
        <v>0</v>
      </c>
      <c r="AT152" s="28">
        <f>SUM(AK153:AK156)</f>
        <v>0</v>
      </c>
      <c r="AU152" s="28">
        <f>SUM(AL153:AL156)</f>
        <v>0</v>
      </c>
    </row>
    <row r="153" spans="1:76" ht="25.5" x14ac:dyDescent="0.25">
      <c r="A153" s="1" t="s">
        <v>446</v>
      </c>
      <c r="B153" s="2" t="s">
        <v>447</v>
      </c>
      <c r="C153" s="83" t="s">
        <v>448</v>
      </c>
      <c r="D153" s="78"/>
      <c r="E153" s="2" t="s">
        <v>177</v>
      </c>
      <c r="F153" s="54">
        <v>21.76</v>
      </c>
      <c r="G153" s="55">
        <v>0</v>
      </c>
      <c r="H153" s="54">
        <f>ROUND(F153*AO153,2)</f>
        <v>0</v>
      </c>
      <c r="I153" s="54">
        <f>ROUND(F153*AP153,2)</f>
        <v>0</v>
      </c>
      <c r="J153" s="54">
        <f>ROUND(F153*G153,2)</f>
        <v>0</v>
      </c>
      <c r="K153" s="56" t="s">
        <v>120</v>
      </c>
      <c r="Z153" s="54">
        <f>ROUND(IF(AQ153="5",BJ153,0),2)</f>
        <v>0</v>
      </c>
      <c r="AB153" s="54">
        <f>ROUND(IF(AQ153="1",BH153,0),2)</f>
        <v>0</v>
      </c>
      <c r="AC153" s="54">
        <f>ROUND(IF(AQ153="1",BI153,0),2)</f>
        <v>0</v>
      </c>
      <c r="AD153" s="54">
        <f>ROUND(IF(AQ153="7",BH153,0),2)</f>
        <v>0</v>
      </c>
      <c r="AE153" s="54">
        <f>ROUND(IF(AQ153="7",BI153,0),2)</f>
        <v>0</v>
      </c>
      <c r="AF153" s="54">
        <f>ROUND(IF(AQ153="2",BH153,0),2)</f>
        <v>0</v>
      </c>
      <c r="AG153" s="54">
        <f>ROUND(IF(AQ153="2",BI153,0),2)</f>
        <v>0</v>
      </c>
      <c r="AH153" s="54">
        <f>ROUND(IF(AQ153="0",BJ153,0),2)</f>
        <v>0</v>
      </c>
      <c r="AI153" s="34" t="s">
        <v>414</v>
      </c>
      <c r="AJ153" s="54">
        <f>IF(AN153=0,J153,0)</f>
        <v>0</v>
      </c>
      <c r="AK153" s="54">
        <f>IF(AN153=0,J153,0)</f>
        <v>0</v>
      </c>
      <c r="AL153" s="54">
        <f>IF(AN153=21,J153,0)</f>
        <v>0</v>
      </c>
      <c r="AN153" s="54">
        <v>21</v>
      </c>
      <c r="AO153" s="54">
        <f>G153*0</f>
        <v>0</v>
      </c>
      <c r="AP153" s="54">
        <f>G153*(1-0)</f>
        <v>0</v>
      </c>
      <c r="AQ153" s="57" t="s">
        <v>108</v>
      </c>
      <c r="AV153" s="54">
        <f>ROUND(AW153+AX153,2)</f>
        <v>0</v>
      </c>
      <c r="AW153" s="54">
        <f>ROUND(F153*AO153,2)</f>
        <v>0</v>
      </c>
      <c r="AX153" s="54">
        <f>ROUND(F153*AP153,2)</f>
        <v>0</v>
      </c>
      <c r="AY153" s="57" t="s">
        <v>145</v>
      </c>
      <c r="AZ153" s="57" t="s">
        <v>419</v>
      </c>
      <c r="BA153" s="34" t="s">
        <v>420</v>
      </c>
      <c r="BC153" s="54">
        <f>AW153+AX153</f>
        <v>0</v>
      </c>
      <c r="BD153" s="54">
        <f>G153/(100-BE153)*100</f>
        <v>0</v>
      </c>
      <c r="BE153" s="54">
        <v>0</v>
      </c>
      <c r="BF153" s="54">
        <f>153</f>
        <v>153</v>
      </c>
      <c r="BH153" s="54">
        <f>F153*AO153</f>
        <v>0</v>
      </c>
      <c r="BI153" s="54">
        <f>F153*AP153</f>
        <v>0</v>
      </c>
      <c r="BJ153" s="54">
        <f>F153*G153</f>
        <v>0</v>
      </c>
      <c r="BK153" s="57" t="s">
        <v>115</v>
      </c>
      <c r="BL153" s="54">
        <v>16</v>
      </c>
      <c r="BW153" s="54">
        <v>21</v>
      </c>
      <c r="BX153" s="3" t="s">
        <v>448</v>
      </c>
    </row>
    <row r="154" spans="1:76" x14ac:dyDescent="0.25">
      <c r="A154" s="1" t="s">
        <v>449</v>
      </c>
      <c r="B154" s="2" t="s">
        <v>450</v>
      </c>
      <c r="C154" s="83" t="s">
        <v>451</v>
      </c>
      <c r="D154" s="78"/>
      <c r="E154" s="2" t="s">
        <v>177</v>
      </c>
      <c r="F154" s="54">
        <v>26.54</v>
      </c>
      <c r="G154" s="55">
        <v>0</v>
      </c>
      <c r="H154" s="54">
        <f>ROUND(F154*AO154,2)</f>
        <v>0</v>
      </c>
      <c r="I154" s="54">
        <f>ROUND(F154*AP154,2)</f>
        <v>0</v>
      </c>
      <c r="J154" s="54">
        <f>ROUND(F154*G154,2)</f>
        <v>0</v>
      </c>
      <c r="K154" s="56" t="s">
        <v>120</v>
      </c>
      <c r="Z154" s="54">
        <f>ROUND(IF(AQ154="5",BJ154,0),2)</f>
        <v>0</v>
      </c>
      <c r="AB154" s="54">
        <f>ROUND(IF(AQ154="1",BH154,0),2)</f>
        <v>0</v>
      </c>
      <c r="AC154" s="54">
        <f>ROUND(IF(AQ154="1",BI154,0),2)</f>
        <v>0</v>
      </c>
      <c r="AD154" s="54">
        <f>ROUND(IF(AQ154="7",BH154,0),2)</f>
        <v>0</v>
      </c>
      <c r="AE154" s="54">
        <f>ROUND(IF(AQ154="7",BI154,0),2)</f>
        <v>0</v>
      </c>
      <c r="AF154" s="54">
        <f>ROUND(IF(AQ154="2",BH154,0),2)</f>
        <v>0</v>
      </c>
      <c r="AG154" s="54">
        <f>ROUND(IF(AQ154="2",BI154,0),2)</f>
        <v>0</v>
      </c>
      <c r="AH154" s="54">
        <f>ROUND(IF(AQ154="0",BJ154,0),2)</f>
        <v>0</v>
      </c>
      <c r="AI154" s="34" t="s">
        <v>414</v>
      </c>
      <c r="AJ154" s="54">
        <f>IF(AN154=0,J154,0)</f>
        <v>0</v>
      </c>
      <c r="AK154" s="54">
        <f>IF(AN154=0,J154,0)</f>
        <v>0</v>
      </c>
      <c r="AL154" s="54">
        <f>IF(AN154=21,J154,0)</f>
        <v>0</v>
      </c>
      <c r="AN154" s="54">
        <v>21</v>
      </c>
      <c r="AO154" s="54">
        <f>G154*0</f>
        <v>0</v>
      </c>
      <c r="AP154" s="54">
        <f>G154*(1-0)</f>
        <v>0</v>
      </c>
      <c r="AQ154" s="57" t="s">
        <v>108</v>
      </c>
      <c r="AV154" s="54">
        <f>ROUND(AW154+AX154,2)</f>
        <v>0</v>
      </c>
      <c r="AW154" s="54">
        <f>ROUND(F154*AO154,2)</f>
        <v>0</v>
      </c>
      <c r="AX154" s="54">
        <f>ROUND(F154*AP154,2)</f>
        <v>0</v>
      </c>
      <c r="AY154" s="57" t="s">
        <v>145</v>
      </c>
      <c r="AZ154" s="57" t="s">
        <v>419</v>
      </c>
      <c r="BA154" s="34" t="s">
        <v>420</v>
      </c>
      <c r="BC154" s="54">
        <f>AW154+AX154</f>
        <v>0</v>
      </c>
      <c r="BD154" s="54">
        <f>G154/(100-BE154)*100</f>
        <v>0</v>
      </c>
      <c r="BE154" s="54">
        <v>0</v>
      </c>
      <c r="BF154" s="54">
        <f>154</f>
        <v>154</v>
      </c>
      <c r="BH154" s="54">
        <f>F154*AO154</f>
        <v>0</v>
      </c>
      <c r="BI154" s="54">
        <f>F154*AP154</f>
        <v>0</v>
      </c>
      <c r="BJ154" s="54">
        <f>F154*G154</f>
        <v>0</v>
      </c>
      <c r="BK154" s="57" t="s">
        <v>115</v>
      </c>
      <c r="BL154" s="54">
        <v>16</v>
      </c>
      <c r="BW154" s="54">
        <v>21</v>
      </c>
      <c r="BX154" s="3" t="s">
        <v>451</v>
      </c>
    </row>
    <row r="155" spans="1:76" ht="25.5" x14ac:dyDescent="0.25">
      <c r="A155" s="1" t="s">
        <v>452</v>
      </c>
      <c r="B155" s="2" t="s">
        <v>453</v>
      </c>
      <c r="C155" s="83" t="s">
        <v>454</v>
      </c>
      <c r="D155" s="78"/>
      <c r="E155" s="2" t="s">
        <v>177</v>
      </c>
      <c r="F155" s="54">
        <v>26.55</v>
      </c>
      <c r="G155" s="55">
        <v>0</v>
      </c>
      <c r="H155" s="54">
        <f>ROUND(F155*AO155,2)</f>
        <v>0</v>
      </c>
      <c r="I155" s="54">
        <f>ROUND(F155*AP155,2)</f>
        <v>0</v>
      </c>
      <c r="J155" s="54">
        <f>ROUND(F155*G155,2)</f>
        <v>0</v>
      </c>
      <c r="K155" s="56" t="s">
        <v>120</v>
      </c>
      <c r="Z155" s="54">
        <f>ROUND(IF(AQ155="5",BJ155,0),2)</f>
        <v>0</v>
      </c>
      <c r="AB155" s="54">
        <f>ROUND(IF(AQ155="1",BH155,0),2)</f>
        <v>0</v>
      </c>
      <c r="AC155" s="54">
        <f>ROUND(IF(AQ155="1",BI155,0),2)</f>
        <v>0</v>
      </c>
      <c r="AD155" s="54">
        <f>ROUND(IF(AQ155="7",BH155,0),2)</f>
        <v>0</v>
      </c>
      <c r="AE155" s="54">
        <f>ROUND(IF(AQ155="7",BI155,0),2)</f>
        <v>0</v>
      </c>
      <c r="AF155" s="54">
        <f>ROUND(IF(AQ155="2",BH155,0),2)</f>
        <v>0</v>
      </c>
      <c r="AG155" s="54">
        <f>ROUND(IF(AQ155="2",BI155,0),2)</f>
        <v>0</v>
      </c>
      <c r="AH155" s="54">
        <f>ROUND(IF(AQ155="0",BJ155,0),2)</f>
        <v>0</v>
      </c>
      <c r="AI155" s="34" t="s">
        <v>414</v>
      </c>
      <c r="AJ155" s="54">
        <f>IF(AN155=0,J155,0)</f>
        <v>0</v>
      </c>
      <c r="AK155" s="54">
        <f>IF(AN155=0,J155,0)</f>
        <v>0</v>
      </c>
      <c r="AL155" s="54">
        <f>IF(AN155=21,J155,0)</f>
        <v>0</v>
      </c>
      <c r="AN155" s="54">
        <v>21</v>
      </c>
      <c r="AO155" s="54">
        <f>G155*0</f>
        <v>0</v>
      </c>
      <c r="AP155" s="54">
        <f>G155*(1-0)</f>
        <v>0</v>
      </c>
      <c r="AQ155" s="57" t="s">
        <v>108</v>
      </c>
      <c r="AV155" s="54">
        <f>ROUND(AW155+AX155,2)</f>
        <v>0</v>
      </c>
      <c r="AW155" s="54">
        <f>ROUND(F155*AO155,2)</f>
        <v>0</v>
      </c>
      <c r="AX155" s="54">
        <f>ROUND(F155*AP155,2)</f>
        <v>0</v>
      </c>
      <c r="AY155" s="57" t="s">
        <v>145</v>
      </c>
      <c r="AZ155" s="57" t="s">
        <v>419</v>
      </c>
      <c r="BA155" s="34" t="s">
        <v>420</v>
      </c>
      <c r="BC155" s="54">
        <f>AW155+AX155</f>
        <v>0</v>
      </c>
      <c r="BD155" s="54">
        <f>G155/(100-BE155)*100</f>
        <v>0</v>
      </c>
      <c r="BE155" s="54">
        <v>0</v>
      </c>
      <c r="BF155" s="54">
        <f>155</f>
        <v>155</v>
      </c>
      <c r="BH155" s="54">
        <f>F155*AO155</f>
        <v>0</v>
      </c>
      <c r="BI155" s="54">
        <f>F155*AP155</f>
        <v>0</v>
      </c>
      <c r="BJ155" s="54">
        <f>F155*G155</f>
        <v>0</v>
      </c>
      <c r="BK155" s="57" t="s">
        <v>115</v>
      </c>
      <c r="BL155" s="54">
        <v>16</v>
      </c>
      <c r="BW155" s="54">
        <v>21</v>
      </c>
      <c r="BX155" s="3" t="s">
        <v>454</v>
      </c>
    </row>
    <row r="156" spans="1:76" x14ac:dyDescent="0.25">
      <c r="A156" s="1" t="s">
        <v>455</v>
      </c>
      <c r="B156" s="2" t="s">
        <v>241</v>
      </c>
      <c r="C156" s="83" t="s">
        <v>456</v>
      </c>
      <c r="D156" s="78"/>
      <c r="E156" s="2" t="s">
        <v>177</v>
      </c>
      <c r="F156" s="54">
        <v>26.55</v>
      </c>
      <c r="G156" s="55">
        <v>0</v>
      </c>
      <c r="H156" s="54">
        <f>ROUND(F156*AO156,2)</f>
        <v>0</v>
      </c>
      <c r="I156" s="54">
        <f>ROUND(F156*AP156,2)</f>
        <v>0</v>
      </c>
      <c r="J156" s="54">
        <f>ROUND(F156*G156,2)</f>
        <v>0</v>
      </c>
      <c r="K156" s="56" t="s">
        <v>120</v>
      </c>
      <c r="Z156" s="54">
        <f>ROUND(IF(AQ156="5",BJ156,0),2)</f>
        <v>0</v>
      </c>
      <c r="AB156" s="54">
        <f>ROUND(IF(AQ156="1",BH156,0),2)</f>
        <v>0</v>
      </c>
      <c r="AC156" s="54">
        <f>ROUND(IF(AQ156="1",BI156,0),2)</f>
        <v>0</v>
      </c>
      <c r="AD156" s="54">
        <f>ROUND(IF(AQ156="7",BH156,0),2)</f>
        <v>0</v>
      </c>
      <c r="AE156" s="54">
        <f>ROUND(IF(AQ156="7",BI156,0),2)</f>
        <v>0</v>
      </c>
      <c r="AF156" s="54">
        <f>ROUND(IF(AQ156="2",BH156,0),2)</f>
        <v>0</v>
      </c>
      <c r="AG156" s="54">
        <f>ROUND(IF(AQ156="2",BI156,0),2)</f>
        <v>0</v>
      </c>
      <c r="AH156" s="54">
        <f>ROUND(IF(AQ156="0",BJ156,0),2)</f>
        <v>0</v>
      </c>
      <c r="AI156" s="34" t="s">
        <v>414</v>
      </c>
      <c r="AJ156" s="54">
        <f>IF(AN156=0,J156,0)</f>
        <v>0</v>
      </c>
      <c r="AK156" s="54">
        <f>IF(AN156=0,J156,0)</f>
        <v>0</v>
      </c>
      <c r="AL156" s="54">
        <f>IF(AN156=21,J156,0)</f>
        <v>0</v>
      </c>
      <c r="AN156" s="54">
        <v>21</v>
      </c>
      <c r="AO156" s="54">
        <f>G156*0</f>
        <v>0</v>
      </c>
      <c r="AP156" s="54">
        <f>G156*(1-0)</f>
        <v>0</v>
      </c>
      <c r="AQ156" s="57" t="s">
        <v>108</v>
      </c>
      <c r="AV156" s="54">
        <f>ROUND(AW156+AX156,2)</f>
        <v>0</v>
      </c>
      <c r="AW156" s="54">
        <f>ROUND(F156*AO156,2)</f>
        <v>0</v>
      </c>
      <c r="AX156" s="54">
        <f>ROUND(F156*AP156,2)</f>
        <v>0</v>
      </c>
      <c r="AY156" s="57" t="s">
        <v>145</v>
      </c>
      <c r="AZ156" s="57" t="s">
        <v>419</v>
      </c>
      <c r="BA156" s="34" t="s">
        <v>420</v>
      </c>
      <c r="BC156" s="54">
        <f>AW156+AX156</f>
        <v>0</v>
      </c>
      <c r="BD156" s="54">
        <f>G156/(100-BE156)*100</f>
        <v>0</v>
      </c>
      <c r="BE156" s="54">
        <v>0</v>
      </c>
      <c r="BF156" s="54">
        <f>156</f>
        <v>156</v>
      </c>
      <c r="BH156" s="54">
        <f>F156*AO156</f>
        <v>0</v>
      </c>
      <c r="BI156" s="54">
        <f>F156*AP156</f>
        <v>0</v>
      </c>
      <c r="BJ156" s="54">
        <f>F156*G156</f>
        <v>0</v>
      </c>
      <c r="BK156" s="57" t="s">
        <v>115</v>
      </c>
      <c r="BL156" s="54">
        <v>16</v>
      </c>
      <c r="BW156" s="54">
        <v>21</v>
      </c>
      <c r="BX156" s="3" t="s">
        <v>456</v>
      </c>
    </row>
    <row r="157" spans="1:76" x14ac:dyDescent="0.25">
      <c r="A157" s="49" t="s">
        <v>4</v>
      </c>
      <c r="B157" s="50" t="s">
        <v>180</v>
      </c>
      <c r="C157" s="161" t="s">
        <v>457</v>
      </c>
      <c r="D157" s="162"/>
      <c r="E157" s="51" t="s">
        <v>69</v>
      </c>
      <c r="F157" s="51" t="s">
        <v>69</v>
      </c>
      <c r="G157" s="52" t="s">
        <v>69</v>
      </c>
      <c r="H157" s="28">
        <f>SUM(H158:H158)</f>
        <v>0</v>
      </c>
      <c r="I157" s="28">
        <f>SUM(I158:I158)</f>
        <v>0</v>
      </c>
      <c r="J157" s="28">
        <f>SUM(J158:J158)</f>
        <v>0</v>
      </c>
      <c r="K157" s="53" t="s">
        <v>4</v>
      </c>
      <c r="AI157" s="34" t="s">
        <v>414</v>
      </c>
      <c r="AS157" s="28">
        <f>SUM(AJ158:AJ158)</f>
        <v>0</v>
      </c>
      <c r="AT157" s="28">
        <f>SUM(AK158:AK158)</f>
        <v>0</v>
      </c>
      <c r="AU157" s="28">
        <f>SUM(AL158:AL158)</f>
        <v>0</v>
      </c>
    </row>
    <row r="158" spans="1:76" x14ac:dyDescent="0.25">
      <c r="A158" s="1" t="s">
        <v>458</v>
      </c>
      <c r="B158" s="2" t="s">
        <v>459</v>
      </c>
      <c r="C158" s="83" t="s">
        <v>460</v>
      </c>
      <c r="D158" s="78"/>
      <c r="E158" s="2" t="s">
        <v>136</v>
      </c>
      <c r="F158" s="54">
        <v>0.13</v>
      </c>
      <c r="G158" s="55">
        <v>0</v>
      </c>
      <c r="H158" s="54">
        <f>ROUND(F158*AO158,2)</f>
        <v>0</v>
      </c>
      <c r="I158" s="54">
        <f>ROUND(F158*AP158,2)</f>
        <v>0</v>
      </c>
      <c r="J158" s="54">
        <f>ROUND(F158*G158,2)</f>
        <v>0</v>
      </c>
      <c r="K158" s="56" t="s">
        <v>120</v>
      </c>
      <c r="Z158" s="54">
        <f>ROUND(IF(AQ158="5",BJ158,0),2)</f>
        <v>0</v>
      </c>
      <c r="AB158" s="54">
        <f>ROUND(IF(AQ158="1",BH158,0),2)</f>
        <v>0</v>
      </c>
      <c r="AC158" s="54">
        <f>ROUND(IF(AQ158="1",BI158,0),2)</f>
        <v>0</v>
      </c>
      <c r="AD158" s="54">
        <f>ROUND(IF(AQ158="7",BH158,0),2)</f>
        <v>0</v>
      </c>
      <c r="AE158" s="54">
        <f>ROUND(IF(AQ158="7",BI158,0),2)</f>
        <v>0</v>
      </c>
      <c r="AF158" s="54">
        <f>ROUND(IF(AQ158="2",BH158,0),2)</f>
        <v>0</v>
      </c>
      <c r="AG158" s="54">
        <f>ROUND(IF(AQ158="2",BI158,0),2)</f>
        <v>0</v>
      </c>
      <c r="AH158" s="54">
        <f>ROUND(IF(AQ158="0",BJ158,0),2)</f>
        <v>0</v>
      </c>
      <c r="AI158" s="34" t="s">
        <v>414</v>
      </c>
      <c r="AJ158" s="54">
        <f>IF(AN158=0,J158,0)</f>
        <v>0</v>
      </c>
      <c r="AK158" s="54">
        <f>IF(AN158=0,J158,0)</f>
        <v>0</v>
      </c>
      <c r="AL158" s="54">
        <f>IF(AN158=21,J158,0)</f>
        <v>0</v>
      </c>
      <c r="AN158" s="54">
        <v>21</v>
      </c>
      <c r="AO158" s="54">
        <f>G158*1</f>
        <v>0</v>
      </c>
      <c r="AP158" s="54">
        <f>G158*(1-1)</f>
        <v>0</v>
      </c>
      <c r="AQ158" s="57" t="s">
        <v>108</v>
      </c>
      <c r="AV158" s="54">
        <f>ROUND(AW158+AX158,2)</f>
        <v>0</v>
      </c>
      <c r="AW158" s="54">
        <f>ROUND(F158*AO158,2)</f>
        <v>0</v>
      </c>
      <c r="AX158" s="54">
        <f>ROUND(F158*AP158,2)</f>
        <v>0</v>
      </c>
      <c r="AY158" s="57" t="s">
        <v>461</v>
      </c>
      <c r="AZ158" s="57" t="s">
        <v>419</v>
      </c>
      <c r="BA158" s="34" t="s">
        <v>420</v>
      </c>
      <c r="BC158" s="54">
        <f>AW158+AX158</f>
        <v>0</v>
      </c>
      <c r="BD158" s="54">
        <f>G158/(100-BE158)*100</f>
        <v>0</v>
      </c>
      <c r="BE158" s="54">
        <v>0</v>
      </c>
      <c r="BF158" s="54">
        <f>158</f>
        <v>158</v>
      </c>
      <c r="BH158" s="54">
        <f>F158*AO158</f>
        <v>0</v>
      </c>
      <c r="BI158" s="54">
        <f>F158*AP158</f>
        <v>0</v>
      </c>
      <c r="BJ158" s="54">
        <f>F158*G158</f>
        <v>0</v>
      </c>
      <c r="BK158" s="57" t="s">
        <v>190</v>
      </c>
      <c r="BL158" s="54">
        <v>17</v>
      </c>
      <c r="BW158" s="54">
        <v>21</v>
      </c>
      <c r="BX158" s="3" t="s">
        <v>460</v>
      </c>
    </row>
    <row r="159" spans="1:76" ht="40.5" customHeight="1" x14ac:dyDescent="0.25">
      <c r="A159" s="58"/>
      <c r="B159" s="59" t="s">
        <v>53</v>
      </c>
      <c r="C159" s="163" t="s">
        <v>462</v>
      </c>
      <c r="D159" s="164"/>
      <c r="E159" s="164"/>
      <c r="F159" s="164"/>
      <c r="G159" s="165"/>
      <c r="H159" s="164"/>
      <c r="I159" s="164"/>
      <c r="J159" s="164"/>
      <c r="K159" s="166"/>
    </row>
    <row r="160" spans="1:76" x14ac:dyDescent="0.25">
      <c r="A160" s="49" t="s">
        <v>4</v>
      </c>
      <c r="B160" s="50" t="s">
        <v>258</v>
      </c>
      <c r="C160" s="161" t="s">
        <v>259</v>
      </c>
      <c r="D160" s="162"/>
      <c r="E160" s="51" t="s">
        <v>69</v>
      </c>
      <c r="F160" s="51" t="s">
        <v>69</v>
      </c>
      <c r="G160" s="52" t="s">
        <v>69</v>
      </c>
      <c r="H160" s="28">
        <f>SUM(H161:H161)</f>
        <v>0</v>
      </c>
      <c r="I160" s="28">
        <f>SUM(I161:I161)</f>
        <v>0</v>
      </c>
      <c r="J160" s="28">
        <f>SUM(J161:J161)</f>
        <v>0</v>
      </c>
      <c r="K160" s="53" t="s">
        <v>4</v>
      </c>
      <c r="AI160" s="34" t="s">
        <v>414</v>
      </c>
      <c r="AS160" s="28">
        <f>SUM(AJ161:AJ161)</f>
        <v>0</v>
      </c>
      <c r="AT160" s="28">
        <f>SUM(AK161:AK161)</f>
        <v>0</v>
      </c>
      <c r="AU160" s="28">
        <f>SUM(AL161:AL161)</f>
        <v>0</v>
      </c>
    </row>
    <row r="161" spans="1:76" x14ac:dyDescent="0.25">
      <c r="A161" s="1" t="s">
        <v>463</v>
      </c>
      <c r="B161" s="2" t="s">
        <v>464</v>
      </c>
      <c r="C161" s="83" t="s">
        <v>465</v>
      </c>
      <c r="D161" s="78"/>
      <c r="E161" s="2" t="s">
        <v>136</v>
      </c>
      <c r="F161" s="54">
        <v>46.27</v>
      </c>
      <c r="G161" s="55">
        <v>0</v>
      </c>
      <c r="H161" s="54">
        <f>ROUND(F161*AO161,2)</f>
        <v>0</v>
      </c>
      <c r="I161" s="54">
        <f>ROUND(F161*AP161,2)</f>
        <v>0</v>
      </c>
      <c r="J161" s="54">
        <f>ROUND(F161*G161,2)</f>
        <v>0</v>
      </c>
      <c r="K161" s="56" t="s">
        <v>120</v>
      </c>
      <c r="Z161" s="54">
        <f>ROUND(IF(AQ161="5",BJ161,0),2)</f>
        <v>0</v>
      </c>
      <c r="AB161" s="54">
        <f>ROUND(IF(AQ161="1",BH161,0),2)</f>
        <v>0</v>
      </c>
      <c r="AC161" s="54">
        <f>ROUND(IF(AQ161="1",BI161,0),2)</f>
        <v>0</v>
      </c>
      <c r="AD161" s="54">
        <f>ROUND(IF(AQ161="7",BH161,0),2)</f>
        <v>0</v>
      </c>
      <c r="AE161" s="54">
        <f>ROUND(IF(AQ161="7",BI161,0),2)</f>
        <v>0</v>
      </c>
      <c r="AF161" s="54">
        <f>ROUND(IF(AQ161="2",BH161,0),2)</f>
        <v>0</v>
      </c>
      <c r="AG161" s="54">
        <f>ROUND(IF(AQ161="2",BI161,0),2)</f>
        <v>0</v>
      </c>
      <c r="AH161" s="54">
        <f>ROUND(IF(AQ161="0",BJ161,0),2)</f>
        <v>0</v>
      </c>
      <c r="AI161" s="34" t="s">
        <v>414</v>
      </c>
      <c r="AJ161" s="54">
        <f>IF(AN161=0,J161,0)</f>
        <v>0</v>
      </c>
      <c r="AK161" s="54">
        <f>IF(AN161=0,J161,0)</f>
        <v>0</v>
      </c>
      <c r="AL161" s="54">
        <f>IF(AN161=21,J161,0)</f>
        <v>0</v>
      </c>
      <c r="AN161" s="54">
        <v>21</v>
      </c>
      <c r="AO161" s="54">
        <f>G161*0</f>
        <v>0</v>
      </c>
      <c r="AP161" s="54">
        <f>G161*(1-0)</f>
        <v>0</v>
      </c>
      <c r="AQ161" s="57" t="s">
        <v>129</v>
      </c>
      <c r="AV161" s="54">
        <f>ROUND(AW161+AX161,2)</f>
        <v>0</v>
      </c>
      <c r="AW161" s="54">
        <f>ROUND(F161*AO161,2)</f>
        <v>0</v>
      </c>
      <c r="AX161" s="54">
        <f>ROUND(F161*AP161,2)</f>
        <v>0</v>
      </c>
      <c r="AY161" s="57" t="s">
        <v>261</v>
      </c>
      <c r="AZ161" s="57" t="s">
        <v>466</v>
      </c>
      <c r="BA161" s="34" t="s">
        <v>420</v>
      </c>
      <c r="BC161" s="54">
        <f>AW161+AX161</f>
        <v>0</v>
      </c>
      <c r="BD161" s="54">
        <f>G161/(100-BE161)*100</f>
        <v>0</v>
      </c>
      <c r="BE161" s="54">
        <v>0</v>
      </c>
      <c r="BF161" s="54">
        <f>161</f>
        <v>161</v>
      </c>
      <c r="BH161" s="54">
        <f>F161*AO161</f>
        <v>0</v>
      </c>
      <c r="BI161" s="54">
        <f>F161*AP161</f>
        <v>0</v>
      </c>
      <c r="BJ161" s="54">
        <f>F161*G161</f>
        <v>0</v>
      </c>
      <c r="BK161" s="57" t="s">
        <v>115</v>
      </c>
      <c r="BL161" s="54"/>
      <c r="BW161" s="54">
        <v>21</v>
      </c>
      <c r="BX161" s="3" t="s">
        <v>465</v>
      </c>
    </row>
    <row r="162" spans="1:76" x14ac:dyDescent="0.25">
      <c r="A162" s="49" t="s">
        <v>4</v>
      </c>
      <c r="B162" s="50" t="s">
        <v>190</v>
      </c>
      <c r="C162" s="161" t="s">
        <v>40</v>
      </c>
      <c r="D162" s="162"/>
      <c r="E162" s="51" t="s">
        <v>69</v>
      </c>
      <c r="F162" s="51" t="s">
        <v>69</v>
      </c>
      <c r="G162" s="52" t="s">
        <v>69</v>
      </c>
      <c r="H162" s="28">
        <f>SUM(H163:H166)</f>
        <v>0</v>
      </c>
      <c r="I162" s="28">
        <f>SUM(I163:I166)</f>
        <v>0</v>
      </c>
      <c r="J162" s="28">
        <f>SUM(J163:J166)</f>
        <v>0</v>
      </c>
      <c r="K162" s="53" t="s">
        <v>4</v>
      </c>
      <c r="AI162" s="34" t="s">
        <v>414</v>
      </c>
      <c r="AS162" s="28">
        <f>SUM(AJ163:AJ166)</f>
        <v>0</v>
      </c>
      <c r="AT162" s="28">
        <f>SUM(AK163:AK166)</f>
        <v>0</v>
      </c>
      <c r="AU162" s="28">
        <f>SUM(AL163:AL166)</f>
        <v>0</v>
      </c>
    </row>
    <row r="163" spans="1:76" x14ac:dyDescent="0.25">
      <c r="A163" s="1" t="s">
        <v>222</v>
      </c>
      <c r="B163" s="2" t="s">
        <v>467</v>
      </c>
      <c r="C163" s="83" t="s">
        <v>468</v>
      </c>
      <c r="D163" s="78"/>
      <c r="E163" s="2" t="s">
        <v>136</v>
      </c>
      <c r="F163" s="54">
        <v>29.2</v>
      </c>
      <c r="G163" s="55">
        <v>0</v>
      </c>
      <c r="H163" s="54">
        <f>ROUND(F163*AO163,2)</f>
        <v>0</v>
      </c>
      <c r="I163" s="54">
        <f>ROUND(F163*AP163,2)</f>
        <v>0</v>
      </c>
      <c r="J163" s="54">
        <f>ROUND(F163*G163,2)</f>
        <v>0</v>
      </c>
      <c r="K163" s="56" t="s">
        <v>120</v>
      </c>
      <c r="Z163" s="54">
        <f>ROUND(IF(AQ163="5",BJ163,0),2)</f>
        <v>0</v>
      </c>
      <c r="AB163" s="54">
        <f>ROUND(IF(AQ163="1",BH163,0),2)</f>
        <v>0</v>
      </c>
      <c r="AC163" s="54">
        <f>ROUND(IF(AQ163="1",BI163,0),2)</f>
        <v>0</v>
      </c>
      <c r="AD163" s="54">
        <f>ROUND(IF(AQ163="7",BH163,0),2)</f>
        <v>0</v>
      </c>
      <c r="AE163" s="54">
        <f>ROUND(IF(AQ163="7",BI163,0),2)</f>
        <v>0</v>
      </c>
      <c r="AF163" s="54">
        <f>ROUND(IF(AQ163="2",BH163,0),2)</f>
        <v>0</v>
      </c>
      <c r="AG163" s="54">
        <f>ROUND(IF(AQ163="2",BI163,0),2)</f>
        <v>0</v>
      </c>
      <c r="AH163" s="54">
        <f>ROUND(IF(AQ163="0",BJ163,0),2)</f>
        <v>0</v>
      </c>
      <c r="AI163" s="34" t="s">
        <v>414</v>
      </c>
      <c r="AJ163" s="54">
        <f>IF(AN163=0,J163,0)</f>
        <v>0</v>
      </c>
      <c r="AK163" s="54">
        <f>IF(AN163=0,J163,0)</f>
        <v>0</v>
      </c>
      <c r="AL163" s="54">
        <f>IF(AN163=21,J163,0)</f>
        <v>0</v>
      </c>
      <c r="AN163" s="54">
        <v>21</v>
      </c>
      <c r="AO163" s="54">
        <f>G163*1</f>
        <v>0</v>
      </c>
      <c r="AP163" s="54">
        <f>G163*(1-1)</f>
        <v>0</v>
      </c>
      <c r="AQ163" s="57" t="s">
        <v>194</v>
      </c>
      <c r="AV163" s="54">
        <f>ROUND(AW163+AX163,2)</f>
        <v>0</v>
      </c>
      <c r="AW163" s="54">
        <f>ROUND(F163*AO163,2)</f>
        <v>0</v>
      </c>
      <c r="AX163" s="54">
        <f>ROUND(F163*AP163,2)</f>
        <v>0</v>
      </c>
      <c r="AY163" s="57" t="s">
        <v>195</v>
      </c>
      <c r="AZ163" s="57" t="s">
        <v>469</v>
      </c>
      <c r="BA163" s="34" t="s">
        <v>420</v>
      </c>
      <c r="BC163" s="54">
        <f>AW163+AX163</f>
        <v>0</v>
      </c>
      <c r="BD163" s="54">
        <f>G163/(100-BE163)*100</f>
        <v>0</v>
      </c>
      <c r="BE163" s="54">
        <v>0</v>
      </c>
      <c r="BF163" s="54">
        <f>163</f>
        <v>163</v>
      </c>
      <c r="BH163" s="54">
        <f>F163*AO163</f>
        <v>0</v>
      </c>
      <c r="BI163" s="54">
        <f>F163*AP163</f>
        <v>0</v>
      </c>
      <c r="BJ163" s="54">
        <f>F163*G163</f>
        <v>0</v>
      </c>
      <c r="BK163" s="57" t="s">
        <v>190</v>
      </c>
      <c r="BL163" s="54"/>
      <c r="BW163" s="54">
        <v>21</v>
      </c>
      <c r="BX163" s="3" t="s">
        <v>468</v>
      </c>
    </row>
    <row r="164" spans="1:76" x14ac:dyDescent="0.25">
      <c r="A164" s="1" t="s">
        <v>470</v>
      </c>
      <c r="B164" s="2" t="s">
        <v>471</v>
      </c>
      <c r="C164" s="83" t="s">
        <v>472</v>
      </c>
      <c r="D164" s="78"/>
      <c r="E164" s="2" t="s">
        <v>136</v>
      </c>
      <c r="F164" s="54">
        <v>6.19</v>
      </c>
      <c r="G164" s="55">
        <v>0</v>
      </c>
      <c r="H164" s="54">
        <f>ROUND(F164*AO164,2)</f>
        <v>0</v>
      </c>
      <c r="I164" s="54">
        <f>ROUND(F164*AP164,2)</f>
        <v>0</v>
      </c>
      <c r="J164" s="54">
        <f>ROUND(F164*G164,2)</f>
        <v>0</v>
      </c>
      <c r="K164" s="56" t="s">
        <v>120</v>
      </c>
      <c r="Z164" s="54">
        <f>ROUND(IF(AQ164="5",BJ164,0),2)</f>
        <v>0</v>
      </c>
      <c r="AB164" s="54">
        <f>ROUND(IF(AQ164="1",BH164,0),2)</f>
        <v>0</v>
      </c>
      <c r="AC164" s="54">
        <f>ROUND(IF(AQ164="1",BI164,0),2)</f>
        <v>0</v>
      </c>
      <c r="AD164" s="54">
        <f>ROUND(IF(AQ164="7",BH164,0),2)</f>
        <v>0</v>
      </c>
      <c r="AE164" s="54">
        <f>ROUND(IF(AQ164="7",BI164,0),2)</f>
        <v>0</v>
      </c>
      <c r="AF164" s="54">
        <f>ROUND(IF(AQ164="2",BH164,0),2)</f>
        <v>0</v>
      </c>
      <c r="AG164" s="54">
        <f>ROUND(IF(AQ164="2",BI164,0),2)</f>
        <v>0</v>
      </c>
      <c r="AH164" s="54">
        <f>ROUND(IF(AQ164="0",BJ164,0),2)</f>
        <v>0</v>
      </c>
      <c r="AI164" s="34" t="s">
        <v>414</v>
      </c>
      <c r="AJ164" s="54">
        <f>IF(AN164=0,J164,0)</f>
        <v>0</v>
      </c>
      <c r="AK164" s="54">
        <f>IF(AN164=0,J164,0)</f>
        <v>0</v>
      </c>
      <c r="AL164" s="54">
        <f>IF(AN164=21,J164,0)</f>
        <v>0</v>
      </c>
      <c r="AN164" s="54">
        <v>21</v>
      </c>
      <c r="AO164" s="54">
        <f>G164*1</f>
        <v>0</v>
      </c>
      <c r="AP164" s="54">
        <f>G164*(1-1)</f>
        <v>0</v>
      </c>
      <c r="AQ164" s="57" t="s">
        <v>194</v>
      </c>
      <c r="AV164" s="54">
        <f>ROUND(AW164+AX164,2)</f>
        <v>0</v>
      </c>
      <c r="AW164" s="54">
        <f>ROUND(F164*AO164,2)</f>
        <v>0</v>
      </c>
      <c r="AX164" s="54">
        <f>ROUND(F164*AP164,2)</f>
        <v>0</v>
      </c>
      <c r="AY164" s="57" t="s">
        <v>195</v>
      </c>
      <c r="AZ164" s="57" t="s">
        <v>469</v>
      </c>
      <c r="BA164" s="34" t="s">
        <v>420</v>
      </c>
      <c r="BC164" s="54">
        <f>AW164+AX164</f>
        <v>0</v>
      </c>
      <c r="BD164" s="54">
        <f>G164/(100-BE164)*100</f>
        <v>0</v>
      </c>
      <c r="BE164" s="54">
        <v>0</v>
      </c>
      <c r="BF164" s="54">
        <f>164</f>
        <v>164</v>
      </c>
      <c r="BH164" s="54">
        <f>F164*AO164</f>
        <v>0</v>
      </c>
      <c r="BI164" s="54">
        <f>F164*AP164</f>
        <v>0</v>
      </c>
      <c r="BJ164" s="54">
        <f>F164*G164</f>
        <v>0</v>
      </c>
      <c r="BK164" s="57" t="s">
        <v>190</v>
      </c>
      <c r="BL164" s="54"/>
      <c r="BW164" s="54">
        <v>21</v>
      </c>
      <c r="BX164" s="3" t="s">
        <v>472</v>
      </c>
    </row>
    <row r="165" spans="1:76" x14ac:dyDescent="0.25">
      <c r="A165" s="1" t="s">
        <v>473</v>
      </c>
      <c r="B165" s="2" t="s">
        <v>278</v>
      </c>
      <c r="C165" s="83" t="s">
        <v>279</v>
      </c>
      <c r="D165" s="78"/>
      <c r="E165" s="2" t="s">
        <v>177</v>
      </c>
      <c r="F165" s="54">
        <v>0.7</v>
      </c>
      <c r="G165" s="55">
        <v>0</v>
      </c>
      <c r="H165" s="54">
        <f>ROUND(F165*AO165,2)</f>
        <v>0</v>
      </c>
      <c r="I165" s="54">
        <f>ROUND(F165*AP165,2)</f>
        <v>0</v>
      </c>
      <c r="J165" s="54">
        <f>ROUND(F165*G165,2)</f>
        <v>0</v>
      </c>
      <c r="K165" s="56" t="s">
        <v>120</v>
      </c>
      <c r="Z165" s="54">
        <f>ROUND(IF(AQ165="5",BJ165,0),2)</f>
        <v>0</v>
      </c>
      <c r="AB165" s="54">
        <f>ROUND(IF(AQ165="1",BH165,0),2)</f>
        <v>0</v>
      </c>
      <c r="AC165" s="54">
        <f>ROUND(IF(AQ165="1",BI165,0),2)</f>
        <v>0</v>
      </c>
      <c r="AD165" s="54">
        <f>ROUND(IF(AQ165="7",BH165,0),2)</f>
        <v>0</v>
      </c>
      <c r="AE165" s="54">
        <f>ROUND(IF(AQ165="7",BI165,0),2)</f>
        <v>0</v>
      </c>
      <c r="AF165" s="54">
        <f>ROUND(IF(AQ165="2",BH165,0),2)</f>
        <v>0</v>
      </c>
      <c r="AG165" s="54">
        <f>ROUND(IF(AQ165="2",BI165,0),2)</f>
        <v>0</v>
      </c>
      <c r="AH165" s="54">
        <f>ROUND(IF(AQ165="0",BJ165,0),2)</f>
        <v>0</v>
      </c>
      <c r="AI165" s="34" t="s">
        <v>414</v>
      </c>
      <c r="AJ165" s="54">
        <f>IF(AN165=0,J165,0)</f>
        <v>0</v>
      </c>
      <c r="AK165" s="54">
        <f>IF(AN165=0,J165,0)</f>
        <v>0</v>
      </c>
      <c r="AL165" s="54">
        <f>IF(AN165=21,J165,0)</f>
        <v>0</v>
      </c>
      <c r="AN165" s="54">
        <v>21</v>
      </c>
      <c r="AO165" s="54">
        <f>G165*1</f>
        <v>0</v>
      </c>
      <c r="AP165" s="54">
        <f>G165*(1-1)</f>
        <v>0</v>
      </c>
      <c r="AQ165" s="57" t="s">
        <v>194</v>
      </c>
      <c r="AV165" s="54">
        <f>ROUND(AW165+AX165,2)</f>
        <v>0</v>
      </c>
      <c r="AW165" s="54">
        <f>ROUND(F165*AO165,2)</f>
        <v>0</v>
      </c>
      <c r="AX165" s="54">
        <f>ROUND(F165*AP165,2)</f>
        <v>0</v>
      </c>
      <c r="AY165" s="57" t="s">
        <v>195</v>
      </c>
      <c r="AZ165" s="57" t="s">
        <v>469</v>
      </c>
      <c r="BA165" s="34" t="s">
        <v>420</v>
      </c>
      <c r="BC165" s="54">
        <f>AW165+AX165</f>
        <v>0</v>
      </c>
      <c r="BD165" s="54">
        <f>G165/(100-BE165)*100</f>
        <v>0</v>
      </c>
      <c r="BE165" s="54">
        <v>0</v>
      </c>
      <c r="BF165" s="54">
        <f>165</f>
        <v>165</v>
      </c>
      <c r="BH165" s="54">
        <f>F165*AO165</f>
        <v>0</v>
      </c>
      <c r="BI165" s="54">
        <f>F165*AP165</f>
        <v>0</v>
      </c>
      <c r="BJ165" s="54">
        <f>F165*G165</f>
        <v>0</v>
      </c>
      <c r="BK165" s="57" t="s">
        <v>190</v>
      </c>
      <c r="BL165" s="54"/>
      <c r="BW165" s="54">
        <v>21</v>
      </c>
      <c r="BX165" s="3" t="s">
        <v>279</v>
      </c>
    </row>
    <row r="166" spans="1:76" x14ac:dyDescent="0.25">
      <c r="A166" s="1" t="s">
        <v>474</v>
      </c>
      <c r="B166" s="2" t="s">
        <v>475</v>
      </c>
      <c r="C166" s="83" t="s">
        <v>476</v>
      </c>
      <c r="D166" s="78"/>
      <c r="E166" s="2" t="s">
        <v>136</v>
      </c>
      <c r="F166" s="54">
        <v>3.65</v>
      </c>
      <c r="G166" s="55">
        <v>0</v>
      </c>
      <c r="H166" s="54">
        <f>ROUND(F166*AO166,2)</f>
        <v>0</v>
      </c>
      <c r="I166" s="54">
        <f>ROUND(F166*AP166,2)</f>
        <v>0</v>
      </c>
      <c r="J166" s="54">
        <f>ROUND(F166*G166,2)</f>
        <v>0</v>
      </c>
      <c r="K166" s="56" t="s">
        <v>4</v>
      </c>
      <c r="Z166" s="54">
        <f>ROUND(IF(AQ166="5",BJ166,0),2)</f>
        <v>0</v>
      </c>
      <c r="AB166" s="54">
        <f>ROUND(IF(AQ166="1",BH166,0),2)</f>
        <v>0</v>
      </c>
      <c r="AC166" s="54">
        <f>ROUND(IF(AQ166="1",BI166,0),2)</f>
        <v>0</v>
      </c>
      <c r="AD166" s="54">
        <f>ROUND(IF(AQ166="7",BH166,0),2)</f>
        <v>0</v>
      </c>
      <c r="AE166" s="54">
        <f>ROUND(IF(AQ166="7",BI166,0),2)</f>
        <v>0</v>
      </c>
      <c r="AF166" s="54">
        <f>ROUND(IF(AQ166="2",BH166,0),2)</f>
        <v>0</v>
      </c>
      <c r="AG166" s="54">
        <f>ROUND(IF(AQ166="2",BI166,0),2)</f>
        <v>0</v>
      </c>
      <c r="AH166" s="54">
        <f>ROUND(IF(AQ166="0",BJ166,0),2)</f>
        <v>0</v>
      </c>
      <c r="AI166" s="34" t="s">
        <v>414</v>
      </c>
      <c r="AJ166" s="54">
        <f>IF(AN166=0,J166,0)</f>
        <v>0</v>
      </c>
      <c r="AK166" s="54">
        <f>IF(AN166=0,J166,0)</f>
        <v>0</v>
      </c>
      <c r="AL166" s="54">
        <f>IF(AN166=21,J166,0)</f>
        <v>0</v>
      </c>
      <c r="AN166" s="54">
        <v>21</v>
      </c>
      <c r="AO166" s="54">
        <f>G166*1</f>
        <v>0</v>
      </c>
      <c r="AP166" s="54">
        <f>G166*(1-1)</f>
        <v>0</v>
      </c>
      <c r="AQ166" s="57" t="s">
        <v>194</v>
      </c>
      <c r="AV166" s="54">
        <f>ROUND(AW166+AX166,2)</f>
        <v>0</v>
      </c>
      <c r="AW166" s="54">
        <f>ROUND(F166*AO166,2)</f>
        <v>0</v>
      </c>
      <c r="AX166" s="54">
        <f>ROUND(F166*AP166,2)</f>
        <v>0</v>
      </c>
      <c r="AY166" s="57" t="s">
        <v>195</v>
      </c>
      <c r="AZ166" s="57" t="s">
        <v>469</v>
      </c>
      <c r="BA166" s="34" t="s">
        <v>420</v>
      </c>
      <c r="BC166" s="54">
        <f>AW166+AX166</f>
        <v>0</v>
      </c>
      <c r="BD166" s="54">
        <f>G166/(100-BE166)*100</f>
        <v>0</v>
      </c>
      <c r="BE166" s="54">
        <v>0</v>
      </c>
      <c r="BF166" s="54">
        <f>166</f>
        <v>166</v>
      </c>
      <c r="BH166" s="54">
        <f>F166*AO166</f>
        <v>0</v>
      </c>
      <c r="BI166" s="54">
        <f>F166*AP166</f>
        <v>0</v>
      </c>
      <c r="BJ166" s="54">
        <f>F166*G166</f>
        <v>0</v>
      </c>
      <c r="BK166" s="57" t="s">
        <v>190</v>
      </c>
      <c r="BL166" s="54"/>
      <c r="BW166" s="54">
        <v>21</v>
      </c>
      <c r="BX166" s="3" t="s">
        <v>476</v>
      </c>
    </row>
    <row r="167" spans="1:76" ht="108" customHeight="1" x14ac:dyDescent="0.25">
      <c r="A167" s="58"/>
      <c r="B167" s="59" t="s">
        <v>53</v>
      </c>
      <c r="C167" s="163" t="s">
        <v>477</v>
      </c>
      <c r="D167" s="164"/>
      <c r="E167" s="164"/>
      <c r="F167" s="164"/>
      <c r="G167" s="165"/>
      <c r="H167" s="164"/>
      <c r="I167" s="164"/>
      <c r="J167" s="164"/>
      <c r="K167" s="166"/>
    </row>
    <row r="168" spans="1:76" x14ac:dyDescent="0.25">
      <c r="A168" s="60" t="s">
        <v>4</v>
      </c>
      <c r="B168" s="61" t="s">
        <v>4</v>
      </c>
      <c r="C168" s="167" t="s">
        <v>478</v>
      </c>
      <c r="D168" s="168"/>
      <c r="E168" s="62" t="s">
        <v>69</v>
      </c>
      <c r="F168" s="62" t="s">
        <v>69</v>
      </c>
      <c r="G168" s="52" t="s">
        <v>69</v>
      </c>
      <c r="H168" s="63">
        <f>H169+H171</f>
        <v>0</v>
      </c>
      <c r="I168" s="63">
        <f>I169+I171</f>
        <v>0</v>
      </c>
      <c r="J168" s="63">
        <f>J169+J171</f>
        <v>0</v>
      </c>
      <c r="K168" s="64" t="s">
        <v>4</v>
      </c>
    </row>
    <row r="169" spans="1:76" x14ac:dyDescent="0.25">
      <c r="A169" s="49" t="s">
        <v>4</v>
      </c>
      <c r="B169" s="50" t="s">
        <v>258</v>
      </c>
      <c r="C169" s="161" t="s">
        <v>259</v>
      </c>
      <c r="D169" s="162"/>
      <c r="E169" s="51" t="s">
        <v>69</v>
      </c>
      <c r="F169" s="51" t="s">
        <v>69</v>
      </c>
      <c r="G169" s="52" t="s">
        <v>69</v>
      </c>
      <c r="H169" s="28">
        <f>SUM(H170:H170)</f>
        <v>0</v>
      </c>
      <c r="I169" s="28">
        <f>SUM(I170:I170)</f>
        <v>0</v>
      </c>
      <c r="J169" s="28">
        <f>SUM(J170:J170)</f>
        <v>0</v>
      </c>
      <c r="K169" s="53" t="s">
        <v>4</v>
      </c>
      <c r="AI169" s="34" t="s">
        <v>149</v>
      </c>
      <c r="AS169" s="28">
        <f>SUM(AJ170:AJ170)</f>
        <v>0</v>
      </c>
      <c r="AT169" s="28">
        <f>SUM(AK170:AK170)</f>
        <v>0</v>
      </c>
      <c r="AU169" s="28">
        <f>SUM(AL170:AL170)</f>
        <v>0</v>
      </c>
    </row>
    <row r="170" spans="1:76" x14ac:dyDescent="0.25">
      <c r="A170" s="1" t="s">
        <v>479</v>
      </c>
      <c r="B170" s="2" t="s">
        <v>219</v>
      </c>
      <c r="C170" s="83" t="s">
        <v>220</v>
      </c>
      <c r="D170" s="78"/>
      <c r="E170" s="2" t="s">
        <v>136</v>
      </c>
      <c r="F170" s="54">
        <v>5.98</v>
      </c>
      <c r="G170" s="55">
        <v>0</v>
      </c>
      <c r="H170" s="54">
        <f>ROUND(F170*AO170,2)</f>
        <v>0</v>
      </c>
      <c r="I170" s="54">
        <f>ROUND(F170*AP170,2)</f>
        <v>0</v>
      </c>
      <c r="J170" s="54">
        <f>ROUND(F170*G170,2)</f>
        <v>0</v>
      </c>
      <c r="K170" s="56" t="s">
        <v>120</v>
      </c>
      <c r="Z170" s="54">
        <f>ROUND(IF(AQ170="5",BJ170,0),2)</f>
        <v>0</v>
      </c>
      <c r="AB170" s="54">
        <f>ROUND(IF(AQ170="1",BH170,0),2)</f>
        <v>0</v>
      </c>
      <c r="AC170" s="54">
        <f>ROUND(IF(AQ170="1",BI170,0),2)</f>
        <v>0</v>
      </c>
      <c r="AD170" s="54">
        <f>ROUND(IF(AQ170="7",BH170,0),2)</f>
        <v>0</v>
      </c>
      <c r="AE170" s="54">
        <f>ROUND(IF(AQ170="7",BI170,0),2)</f>
        <v>0</v>
      </c>
      <c r="AF170" s="54">
        <f>ROUND(IF(AQ170="2",BH170,0),2)</f>
        <v>0</v>
      </c>
      <c r="AG170" s="54">
        <f>ROUND(IF(AQ170="2",BI170,0),2)</f>
        <v>0</v>
      </c>
      <c r="AH170" s="54">
        <f>ROUND(IF(AQ170="0",BJ170,0),2)</f>
        <v>0</v>
      </c>
      <c r="AI170" s="34" t="s">
        <v>149</v>
      </c>
      <c r="AJ170" s="54">
        <f>IF(AN170=0,J170,0)</f>
        <v>0</v>
      </c>
      <c r="AK170" s="54">
        <f>IF(AN170=0,J170,0)</f>
        <v>0</v>
      </c>
      <c r="AL170" s="54">
        <f>IF(AN170=21,J170,0)</f>
        <v>0</v>
      </c>
      <c r="AN170" s="54">
        <v>21</v>
      </c>
      <c r="AO170" s="54">
        <f>G170*0</f>
        <v>0</v>
      </c>
      <c r="AP170" s="54">
        <f>G170*(1-0)</f>
        <v>0</v>
      </c>
      <c r="AQ170" s="57" t="s">
        <v>129</v>
      </c>
      <c r="AV170" s="54">
        <f>ROUND(AW170+AX170,2)</f>
        <v>0</v>
      </c>
      <c r="AW170" s="54">
        <f>ROUND(F170*AO170,2)</f>
        <v>0</v>
      </c>
      <c r="AX170" s="54">
        <f>ROUND(F170*AP170,2)</f>
        <v>0</v>
      </c>
      <c r="AY170" s="57" t="s">
        <v>261</v>
      </c>
      <c r="AZ170" s="57" t="s">
        <v>480</v>
      </c>
      <c r="BA170" s="34" t="s">
        <v>481</v>
      </c>
      <c r="BC170" s="54">
        <f>AW170+AX170</f>
        <v>0</v>
      </c>
      <c r="BD170" s="54">
        <f>G170/(100-BE170)*100</f>
        <v>0</v>
      </c>
      <c r="BE170" s="54">
        <v>0</v>
      </c>
      <c r="BF170" s="54">
        <f>170</f>
        <v>170</v>
      </c>
      <c r="BH170" s="54">
        <f>F170*AO170</f>
        <v>0</v>
      </c>
      <c r="BI170" s="54">
        <f>F170*AP170</f>
        <v>0</v>
      </c>
      <c r="BJ170" s="54">
        <f>F170*G170</f>
        <v>0</v>
      </c>
      <c r="BK170" s="57" t="s">
        <v>115</v>
      </c>
      <c r="BL170" s="54"/>
      <c r="BW170" s="54">
        <v>21</v>
      </c>
      <c r="BX170" s="3" t="s">
        <v>220</v>
      </c>
    </row>
    <row r="171" spans="1:76" x14ac:dyDescent="0.25">
      <c r="A171" s="49" t="s">
        <v>4</v>
      </c>
      <c r="B171" s="50" t="s">
        <v>190</v>
      </c>
      <c r="C171" s="161" t="s">
        <v>40</v>
      </c>
      <c r="D171" s="162"/>
      <c r="E171" s="51" t="s">
        <v>69</v>
      </c>
      <c r="F171" s="51" t="s">
        <v>69</v>
      </c>
      <c r="G171" s="52" t="s">
        <v>69</v>
      </c>
      <c r="H171" s="28">
        <f>SUM(H172:H176)</f>
        <v>0</v>
      </c>
      <c r="I171" s="28">
        <f>SUM(I172:I176)</f>
        <v>0</v>
      </c>
      <c r="J171" s="28">
        <f>SUM(J172:J176)</f>
        <v>0</v>
      </c>
      <c r="K171" s="53" t="s">
        <v>4</v>
      </c>
      <c r="AI171" s="34" t="s">
        <v>149</v>
      </c>
      <c r="AS171" s="28">
        <f>SUM(AJ172:AJ176)</f>
        <v>0</v>
      </c>
      <c r="AT171" s="28">
        <f>SUM(AK172:AK176)</f>
        <v>0</v>
      </c>
      <c r="AU171" s="28">
        <f>SUM(AL172:AL176)</f>
        <v>0</v>
      </c>
    </row>
    <row r="172" spans="1:76" x14ac:dyDescent="0.25">
      <c r="A172" s="1" t="s">
        <v>482</v>
      </c>
      <c r="B172" s="2" t="s">
        <v>483</v>
      </c>
      <c r="C172" s="83" t="s">
        <v>484</v>
      </c>
      <c r="D172" s="78"/>
      <c r="E172" s="2" t="s">
        <v>111</v>
      </c>
      <c r="F172" s="54">
        <v>5</v>
      </c>
      <c r="G172" s="55">
        <v>0</v>
      </c>
      <c r="H172" s="54">
        <f>ROUND(F172*AO172,2)</f>
        <v>0</v>
      </c>
      <c r="I172" s="54">
        <f>ROUND(F172*AP172,2)</f>
        <v>0</v>
      </c>
      <c r="J172" s="54">
        <f>ROUND(F172*G172,2)</f>
        <v>0</v>
      </c>
      <c r="K172" s="56" t="s">
        <v>4</v>
      </c>
      <c r="Z172" s="54">
        <f>ROUND(IF(AQ172="5",BJ172,0),2)</f>
        <v>0</v>
      </c>
      <c r="AB172" s="54">
        <f>ROUND(IF(AQ172="1",BH172,0),2)</f>
        <v>0</v>
      </c>
      <c r="AC172" s="54">
        <f>ROUND(IF(AQ172="1",BI172,0),2)</f>
        <v>0</v>
      </c>
      <c r="AD172" s="54">
        <f>ROUND(IF(AQ172="7",BH172,0),2)</f>
        <v>0</v>
      </c>
      <c r="AE172" s="54">
        <f>ROUND(IF(AQ172="7",BI172,0),2)</f>
        <v>0</v>
      </c>
      <c r="AF172" s="54">
        <f>ROUND(IF(AQ172="2",BH172,0),2)</f>
        <v>0</v>
      </c>
      <c r="AG172" s="54">
        <f>ROUND(IF(AQ172="2",BI172,0),2)</f>
        <v>0</v>
      </c>
      <c r="AH172" s="54">
        <f>ROUND(IF(AQ172="0",BJ172,0),2)</f>
        <v>0</v>
      </c>
      <c r="AI172" s="34" t="s">
        <v>149</v>
      </c>
      <c r="AJ172" s="54">
        <f>IF(AN172=0,J172,0)</f>
        <v>0</v>
      </c>
      <c r="AK172" s="54">
        <f>IF(AN172=0,J172,0)</f>
        <v>0</v>
      </c>
      <c r="AL172" s="54">
        <f>IF(AN172=21,J172,0)</f>
        <v>0</v>
      </c>
      <c r="AN172" s="54">
        <v>21</v>
      </c>
      <c r="AO172" s="54">
        <f>G172*1</f>
        <v>0</v>
      </c>
      <c r="AP172" s="54">
        <f>G172*(1-1)</f>
        <v>0</v>
      </c>
      <c r="AQ172" s="57" t="s">
        <v>194</v>
      </c>
      <c r="AV172" s="54">
        <f>ROUND(AW172+AX172,2)</f>
        <v>0</v>
      </c>
      <c r="AW172" s="54">
        <f>ROUND(F172*AO172,2)</f>
        <v>0</v>
      </c>
      <c r="AX172" s="54">
        <f>ROUND(F172*AP172,2)</f>
        <v>0</v>
      </c>
      <c r="AY172" s="57" t="s">
        <v>195</v>
      </c>
      <c r="AZ172" s="57" t="s">
        <v>485</v>
      </c>
      <c r="BA172" s="34" t="s">
        <v>481</v>
      </c>
      <c r="BC172" s="54">
        <f>AW172+AX172</f>
        <v>0</v>
      </c>
      <c r="BD172" s="54">
        <f>G172/(100-BE172)*100</f>
        <v>0</v>
      </c>
      <c r="BE172" s="54">
        <v>0</v>
      </c>
      <c r="BF172" s="54">
        <f>172</f>
        <v>172</v>
      </c>
      <c r="BH172" s="54">
        <f>F172*AO172</f>
        <v>0</v>
      </c>
      <c r="BI172" s="54">
        <f>F172*AP172</f>
        <v>0</v>
      </c>
      <c r="BJ172" s="54">
        <f>F172*G172</f>
        <v>0</v>
      </c>
      <c r="BK172" s="57" t="s">
        <v>190</v>
      </c>
      <c r="BL172" s="54"/>
      <c r="BW172" s="54">
        <v>21</v>
      </c>
      <c r="BX172" s="3" t="s">
        <v>484</v>
      </c>
    </row>
    <row r="173" spans="1:76" ht="27" customHeight="1" x14ac:dyDescent="0.25">
      <c r="A173" s="58"/>
      <c r="B173" s="59" t="s">
        <v>53</v>
      </c>
      <c r="C173" s="163" t="s">
        <v>486</v>
      </c>
      <c r="D173" s="164"/>
      <c r="E173" s="164"/>
      <c r="F173" s="164"/>
      <c r="G173" s="165"/>
      <c r="H173" s="164"/>
      <c r="I173" s="164"/>
      <c r="J173" s="164"/>
      <c r="K173" s="166"/>
    </row>
    <row r="174" spans="1:76" ht="25.5" x14ac:dyDescent="0.25">
      <c r="A174" s="1" t="s">
        <v>487</v>
      </c>
      <c r="B174" s="2" t="s">
        <v>488</v>
      </c>
      <c r="C174" s="83" t="s">
        <v>489</v>
      </c>
      <c r="D174" s="78"/>
      <c r="E174" s="2" t="s">
        <v>214</v>
      </c>
      <c r="F174" s="54">
        <v>5</v>
      </c>
      <c r="G174" s="55">
        <v>0</v>
      </c>
      <c r="H174" s="54">
        <f>ROUND(F174*AO174,2)</f>
        <v>0</v>
      </c>
      <c r="I174" s="54">
        <f>ROUND(F174*AP174,2)</f>
        <v>0</v>
      </c>
      <c r="J174" s="54">
        <f>ROUND(F174*G174,2)</f>
        <v>0</v>
      </c>
      <c r="K174" s="56" t="s">
        <v>4</v>
      </c>
      <c r="Z174" s="54">
        <f>ROUND(IF(AQ174="5",BJ174,0),2)</f>
        <v>0</v>
      </c>
      <c r="AB174" s="54">
        <f>ROUND(IF(AQ174="1",BH174,0),2)</f>
        <v>0</v>
      </c>
      <c r="AC174" s="54">
        <f>ROUND(IF(AQ174="1",BI174,0),2)</f>
        <v>0</v>
      </c>
      <c r="AD174" s="54">
        <f>ROUND(IF(AQ174="7",BH174,0),2)</f>
        <v>0</v>
      </c>
      <c r="AE174" s="54">
        <f>ROUND(IF(AQ174="7",BI174,0),2)</f>
        <v>0</v>
      </c>
      <c r="AF174" s="54">
        <f>ROUND(IF(AQ174="2",BH174,0),2)</f>
        <v>0</v>
      </c>
      <c r="AG174" s="54">
        <f>ROUND(IF(AQ174="2",BI174,0),2)</f>
        <v>0</v>
      </c>
      <c r="AH174" s="54">
        <f>ROUND(IF(AQ174="0",BJ174,0),2)</f>
        <v>0</v>
      </c>
      <c r="AI174" s="34" t="s">
        <v>149</v>
      </c>
      <c r="AJ174" s="54">
        <f>IF(AN174=0,J174,0)</f>
        <v>0</v>
      </c>
      <c r="AK174" s="54">
        <f>IF(AN174=0,J174,0)</f>
        <v>0</v>
      </c>
      <c r="AL174" s="54">
        <f>IF(AN174=21,J174,0)</f>
        <v>0</v>
      </c>
      <c r="AN174" s="54">
        <v>21</v>
      </c>
      <c r="AO174" s="54">
        <f>G174*1</f>
        <v>0</v>
      </c>
      <c r="AP174" s="54">
        <f>G174*(1-1)</f>
        <v>0</v>
      </c>
      <c r="AQ174" s="57" t="s">
        <v>194</v>
      </c>
      <c r="AV174" s="54">
        <f>ROUND(AW174+AX174,2)</f>
        <v>0</v>
      </c>
      <c r="AW174" s="54">
        <f>ROUND(F174*AO174,2)</f>
        <v>0</v>
      </c>
      <c r="AX174" s="54">
        <f>ROUND(F174*AP174,2)</f>
        <v>0</v>
      </c>
      <c r="AY174" s="57" t="s">
        <v>195</v>
      </c>
      <c r="AZ174" s="57" t="s">
        <v>485</v>
      </c>
      <c r="BA174" s="34" t="s">
        <v>481</v>
      </c>
      <c r="BC174" s="54">
        <f>AW174+AX174</f>
        <v>0</v>
      </c>
      <c r="BD174" s="54">
        <f>G174/(100-BE174)*100</f>
        <v>0</v>
      </c>
      <c r="BE174" s="54">
        <v>0</v>
      </c>
      <c r="BF174" s="54">
        <f>174</f>
        <v>174</v>
      </c>
      <c r="BH174" s="54">
        <f>F174*AO174</f>
        <v>0</v>
      </c>
      <c r="BI174" s="54">
        <f>F174*AP174</f>
        <v>0</v>
      </c>
      <c r="BJ174" s="54">
        <f>F174*G174</f>
        <v>0</v>
      </c>
      <c r="BK174" s="57" t="s">
        <v>190</v>
      </c>
      <c r="BL174" s="54"/>
      <c r="BW174" s="54">
        <v>21</v>
      </c>
      <c r="BX174" s="3" t="s">
        <v>489</v>
      </c>
    </row>
    <row r="175" spans="1:76" ht="13.5" customHeight="1" x14ac:dyDescent="0.25">
      <c r="A175" s="58"/>
      <c r="B175" s="59" t="s">
        <v>53</v>
      </c>
      <c r="C175" s="163" t="s">
        <v>490</v>
      </c>
      <c r="D175" s="164"/>
      <c r="E175" s="164"/>
      <c r="F175" s="164"/>
      <c r="G175" s="165"/>
      <c r="H175" s="164"/>
      <c r="I175" s="164"/>
      <c r="J175" s="164"/>
      <c r="K175" s="166"/>
    </row>
    <row r="176" spans="1:76" x14ac:dyDescent="0.25">
      <c r="A176" s="1" t="s">
        <v>491</v>
      </c>
      <c r="B176" s="2" t="s">
        <v>492</v>
      </c>
      <c r="C176" s="83" t="s">
        <v>493</v>
      </c>
      <c r="D176" s="78"/>
      <c r="E176" s="2" t="s">
        <v>111</v>
      </c>
      <c r="F176" s="54">
        <v>24</v>
      </c>
      <c r="G176" s="55">
        <v>0</v>
      </c>
      <c r="H176" s="54">
        <f>ROUND(F176*AO176,2)</f>
        <v>0</v>
      </c>
      <c r="I176" s="54">
        <f>ROUND(F176*AP176,2)</f>
        <v>0</v>
      </c>
      <c r="J176" s="54">
        <f>ROUND(F176*G176,2)</f>
        <v>0</v>
      </c>
      <c r="K176" s="56" t="s">
        <v>4</v>
      </c>
      <c r="Z176" s="54">
        <f>ROUND(IF(AQ176="5",BJ176,0),2)</f>
        <v>0</v>
      </c>
      <c r="AB176" s="54">
        <f>ROUND(IF(AQ176="1",BH176,0),2)</f>
        <v>0</v>
      </c>
      <c r="AC176" s="54">
        <f>ROUND(IF(AQ176="1",BI176,0),2)</f>
        <v>0</v>
      </c>
      <c r="AD176" s="54">
        <f>ROUND(IF(AQ176="7",BH176,0),2)</f>
        <v>0</v>
      </c>
      <c r="AE176" s="54">
        <f>ROUND(IF(AQ176="7",BI176,0),2)</f>
        <v>0</v>
      </c>
      <c r="AF176" s="54">
        <f>ROUND(IF(AQ176="2",BH176,0),2)</f>
        <v>0</v>
      </c>
      <c r="AG176" s="54">
        <f>ROUND(IF(AQ176="2",BI176,0),2)</f>
        <v>0</v>
      </c>
      <c r="AH176" s="54">
        <f>ROUND(IF(AQ176="0",BJ176,0),2)</f>
        <v>0</v>
      </c>
      <c r="AI176" s="34" t="s">
        <v>149</v>
      </c>
      <c r="AJ176" s="54">
        <f>IF(AN176=0,J176,0)</f>
        <v>0</v>
      </c>
      <c r="AK176" s="54">
        <f>IF(AN176=0,J176,0)</f>
        <v>0</v>
      </c>
      <c r="AL176" s="54">
        <f>IF(AN176=21,J176,0)</f>
        <v>0</v>
      </c>
      <c r="AN176" s="54">
        <v>21</v>
      </c>
      <c r="AO176" s="54">
        <f>G176*1</f>
        <v>0</v>
      </c>
      <c r="AP176" s="54">
        <f>G176*(1-1)</f>
        <v>0</v>
      </c>
      <c r="AQ176" s="57" t="s">
        <v>194</v>
      </c>
      <c r="AV176" s="54">
        <f>ROUND(AW176+AX176,2)</f>
        <v>0</v>
      </c>
      <c r="AW176" s="54">
        <f>ROUND(F176*AO176,2)</f>
        <v>0</v>
      </c>
      <c r="AX176" s="54">
        <f>ROUND(F176*AP176,2)</f>
        <v>0</v>
      </c>
      <c r="AY176" s="57" t="s">
        <v>195</v>
      </c>
      <c r="AZ176" s="57" t="s">
        <v>485</v>
      </c>
      <c r="BA176" s="34" t="s">
        <v>481</v>
      </c>
      <c r="BC176" s="54">
        <f>AW176+AX176</f>
        <v>0</v>
      </c>
      <c r="BD176" s="54">
        <f>G176/(100-BE176)*100</f>
        <v>0</v>
      </c>
      <c r="BE176" s="54">
        <v>0</v>
      </c>
      <c r="BF176" s="54">
        <f>176</f>
        <v>176</v>
      </c>
      <c r="BH176" s="54">
        <f>F176*AO176</f>
        <v>0</v>
      </c>
      <c r="BI176" s="54">
        <f>F176*AP176</f>
        <v>0</v>
      </c>
      <c r="BJ176" s="54">
        <f>F176*G176</f>
        <v>0</v>
      </c>
      <c r="BK176" s="57" t="s">
        <v>190</v>
      </c>
      <c r="BL176" s="54"/>
      <c r="BW176" s="54">
        <v>21</v>
      </c>
      <c r="BX176" s="3" t="s">
        <v>493</v>
      </c>
    </row>
    <row r="177" spans="1:76" ht="13.5" customHeight="1" x14ac:dyDescent="0.25">
      <c r="A177" s="58"/>
      <c r="B177" s="59" t="s">
        <v>53</v>
      </c>
      <c r="C177" s="163" t="s">
        <v>494</v>
      </c>
      <c r="D177" s="164"/>
      <c r="E177" s="164"/>
      <c r="F177" s="164"/>
      <c r="G177" s="165"/>
      <c r="H177" s="164"/>
      <c r="I177" s="164"/>
      <c r="J177" s="164"/>
      <c r="K177" s="166"/>
    </row>
    <row r="178" spans="1:76" x14ac:dyDescent="0.25">
      <c r="A178" s="60" t="s">
        <v>4</v>
      </c>
      <c r="B178" s="61" t="s">
        <v>4</v>
      </c>
      <c r="C178" s="167" t="s">
        <v>495</v>
      </c>
      <c r="D178" s="168"/>
      <c r="E178" s="62" t="s">
        <v>69</v>
      </c>
      <c r="F178" s="62" t="s">
        <v>69</v>
      </c>
      <c r="G178" s="52" t="s">
        <v>69</v>
      </c>
      <c r="H178" s="63">
        <f>H179+H185+H188+H193+H195+H198+H200</f>
        <v>0</v>
      </c>
      <c r="I178" s="63">
        <f>I179+I185+I188+I193+I195+I198+I200</f>
        <v>0</v>
      </c>
      <c r="J178" s="63">
        <f>J179+J185+J188+J193+J195+J198+J200</f>
        <v>0</v>
      </c>
      <c r="K178" s="64" t="s">
        <v>4</v>
      </c>
    </row>
    <row r="179" spans="1:76" x14ac:dyDescent="0.25">
      <c r="A179" s="49" t="s">
        <v>4</v>
      </c>
      <c r="B179" s="50" t="s">
        <v>157</v>
      </c>
      <c r="C179" s="161" t="s">
        <v>496</v>
      </c>
      <c r="D179" s="162"/>
      <c r="E179" s="51" t="s">
        <v>69</v>
      </c>
      <c r="F179" s="51" t="s">
        <v>69</v>
      </c>
      <c r="G179" s="52" t="s">
        <v>69</v>
      </c>
      <c r="H179" s="28">
        <f>SUM(H180:H184)</f>
        <v>0</v>
      </c>
      <c r="I179" s="28">
        <f>SUM(I180:I184)</f>
        <v>0</v>
      </c>
      <c r="J179" s="28">
        <f>SUM(J180:J184)</f>
        <v>0</v>
      </c>
      <c r="K179" s="53" t="s">
        <v>4</v>
      </c>
      <c r="AI179" s="34" t="s">
        <v>127</v>
      </c>
      <c r="AS179" s="28">
        <f>SUM(AJ180:AJ184)</f>
        <v>0</v>
      </c>
      <c r="AT179" s="28">
        <f>SUM(AK180:AK184)</f>
        <v>0</v>
      </c>
      <c r="AU179" s="28">
        <f>SUM(AL180:AL184)</f>
        <v>0</v>
      </c>
    </row>
    <row r="180" spans="1:76" x14ac:dyDescent="0.25">
      <c r="A180" s="1" t="s">
        <v>497</v>
      </c>
      <c r="B180" s="2" t="s">
        <v>498</v>
      </c>
      <c r="C180" s="83" t="s">
        <v>499</v>
      </c>
      <c r="D180" s="78"/>
      <c r="E180" s="2" t="s">
        <v>177</v>
      </c>
      <c r="F180" s="54">
        <v>104</v>
      </c>
      <c r="G180" s="55">
        <v>0</v>
      </c>
      <c r="H180" s="54">
        <f>ROUND(F180*AO180,2)</f>
        <v>0</v>
      </c>
      <c r="I180" s="54">
        <f>ROUND(F180*AP180,2)</f>
        <v>0</v>
      </c>
      <c r="J180" s="54">
        <f>ROUND(F180*G180,2)</f>
        <v>0</v>
      </c>
      <c r="K180" s="56" t="s">
        <v>120</v>
      </c>
      <c r="Z180" s="54">
        <f>ROUND(IF(AQ180="5",BJ180,0),2)</f>
        <v>0</v>
      </c>
      <c r="AB180" s="54">
        <f>ROUND(IF(AQ180="1",BH180,0),2)</f>
        <v>0</v>
      </c>
      <c r="AC180" s="54">
        <f>ROUND(IF(AQ180="1",BI180,0),2)</f>
        <v>0</v>
      </c>
      <c r="AD180" s="54">
        <f>ROUND(IF(AQ180="7",BH180,0),2)</f>
        <v>0</v>
      </c>
      <c r="AE180" s="54">
        <f>ROUND(IF(AQ180="7",BI180,0),2)</f>
        <v>0</v>
      </c>
      <c r="AF180" s="54">
        <f>ROUND(IF(AQ180="2",BH180,0),2)</f>
        <v>0</v>
      </c>
      <c r="AG180" s="54">
        <f>ROUND(IF(AQ180="2",BI180,0),2)</f>
        <v>0</v>
      </c>
      <c r="AH180" s="54">
        <f>ROUND(IF(AQ180="0",BJ180,0),2)</f>
        <v>0</v>
      </c>
      <c r="AI180" s="34" t="s">
        <v>127</v>
      </c>
      <c r="AJ180" s="54">
        <f>IF(AN180=0,J180,0)</f>
        <v>0</v>
      </c>
      <c r="AK180" s="54">
        <f>IF(AN180=0,J180,0)</f>
        <v>0</v>
      </c>
      <c r="AL180" s="54">
        <f>IF(AN180=21,J180,0)</f>
        <v>0</v>
      </c>
      <c r="AN180" s="54">
        <v>21</v>
      </c>
      <c r="AO180" s="54">
        <f>G180*0</f>
        <v>0</v>
      </c>
      <c r="AP180" s="54">
        <f>G180*(1-0)</f>
        <v>0</v>
      </c>
      <c r="AQ180" s="57" t="s">
        <v>108</v>
      </c>
      <c r="AV180" s="54">
        <f>ROUND(AW180+AX180,2)</f>
        <v>0</v>
      </c>
      <c r="AW180" s="54">
        <f>ROUND(F180*AO180,2)</f>
        <v>0</v>
      </c>
      <c r="AX180" s="54">
        <f>ROUND(F180*AP180,2)</f>
        <v>0</v>
      </c>
      <c r="AY180" s="57" t="s">
        <v>500</v>
      </c>
      <c r="AZ180" s="57" t="s">
        <v>501</v>
      </c>
      <c r="BA180" s="34" t="s">
        <v>132</v>
      </c>
      <c r="BC180" s="54">
        <f>AW180+AX180</f>
        <v>0</v>
      </c>
      <c r="BD180" s="54">
        <f>G180/(100-BE180)*100</f>
        <v>0</v>
      </c>
      <c r="BE180" s="54">
        <v>0</v>
      </c>
      <c r="BF180" s="54">
        <f>180</f>
        <v>180</v>
      </c>
      <c r="BH180" s="54">
        <f>F180*AO180</f>
        <v>0</v>
      </c>
      <c r="BI180" s="54">
        <f>F180*AP180</f>
        <v>0</v>
      </c>
      <c r="BJ180" s="54">
        <f>F180*G180</f>
        <v>0</v>
      </c>
      <c r="BK180" s="57" t="s">
        <v>115</v>
      </c>
      <c r="BL180" s="54">
        <v>12</v>
      </c>
      <c r="BW180" s="54">
        <v>21</v>
      </c>
      <c r="BX180" s="3" t="s">
        <v>499</v>
      </c>
    </row>
    <row r="181" spans="1:76" x14ac:dyDescent="0.25">
      <c r="A181" s="1" t="s">
        <v>502</v>
      </c>
      <c r="B181" s="2" t="s">
        <v>503</v>
      </c>
      <c r="C181" s="83" t="s">
        <v>504</v>
      </c>
      <c r="D181" s="78"/>
      <c r="E181" s="2" t="s">
        <v>177</v>
      </c>
      <c r="F181" s="54">
        <v>122.34</v>
      </c>
      <c r="G181" s="55">
        <v>0</v>
      </c>
      <c r="H181" s="54">
        <f>ROUND(F181*AO181,2)</f>
        <v>0</v>
      </c>
      <c r="I181" s="54">
        <f>ROUND(F181*AP181,2)</f>
        <v>0</v>
      </c>
      <c r="J181" s="54">
        <f>ROUND(F181*G181,2)</f>
        <v>0</v>
      </c>
      <c r="K181" s="56" t="s">
        <v>120</v>
      </c>
      <c r="Z181" s="54">
        <f>ROUND(IF(AQ181="5",BJ181,0),2)</f>
        <v>0</v>
      </c>
      <c r="AB181" s="54">
        <f>ROUND(IF(AQ181="1",BH181,0),2)</f>
        <v>0</v>
      </c>
      <c r="AC181" s="54">
        <f>ROUND(IF(AQ181="1",BI181,0),2)</f>
        <v>0</v>
      </c>
      <c r="AD181" s="54">
        <f>ROUND(IF(AQ181="7",BH181,0),2)</f>
        <v>0</v>
      </c>
      <c r="AE181" s="54">
        <f>ROUND(IF(AQ181="7",BI181,0),2)</f>
        <v>0</v>
      </c>
      <c r="AF181" s="54">
        <f>ROUND(IF(AQ181="2",BH181,0),2)</f>
        <v>0</v>
      </c>
      <c r="AG181" s="54">
        <f>ROUND(IF(AQ181="2",BI181,0),2)</f>
        <v>0</v>
      </c>
      <c r="AH181" s="54">
        <f>ROUND(IF(AQ181="0",BJ181,0),2)</f>
        <v>0</v>
      </c>
      <c r="AI181" s="34" t="s">
        <v>127</v>
      </c>
      <c r="AJ181" s="54">
        <f>IF(AN181=0,J181,0)</f>
        <v>0</v>
      </c>
      <c r="AK181" s="54">
        <f>IF(AN181=0,J181,0)</f>
        <v>0</v>
      </c>
      <c r="AL181" s="54">
        <f>IF(AN181=21,J181,0)</f>
        <v>0</v>
      </c>
      <c r="AN181" s="54">
        <v>21</v>
      </c>
      <c r="AO181" s="54">
        <f>G181*0</f>
        <v>0</v>
      </c>
      <c r="AP181" s="54">
        <f>G181*(1-0)</f>
        <v>0</v>
      </c>
      <c r="AQ181" s="57" t="s">
        <v>108</v>
      </c>
      <c r="AV181" s="54">
        <f>ROUND(AW181+AX181,2)</f>
        <v>0</v>
      </c>
      <c r="AW181" s="54">
        <f>ROUND(F181*AO181,2)</f>
        <v>0</v>
      </c>
      <c r="AX181" s="54">
        <f>ROUND(F181*AP181,2)</f>
        <v>0</v>
      </c>
      <c r="AY181" s="57" t="s">
        <v>500</v>
      </c>
      <c r="AZ181" s="57" t="s">
        <v>501</v>
      </c>
      <c r="BA181" s="34" t="s">
        <v>132</v>
      </c>
      <c r="BC181" s="54">
        <f>AW181+AX181</f>
        <v>0</v>
      </c>
      <c r="BD181" s="54">
        <f>G181/(100-BE181)*100</f>
        <v>0</v>
      </c>
      <c r="BE181" s="54">
        <v>0</v>
      </c>
      <c r="BF181" s="54">
        <f>181</f>
        <v>181</v>
      </c>
      <c r="BH181" s="54">
        <f>F181*AO181</f>
        <v>0</v>
      </c>
      <c r="BI181" s="54">
        <f>F181*AP181</f>
        <v>0</v>
      </c>
      <c r="BJ181" s="54">
        <f>F181*G181</f>
        <v>0</v>
      </c>
      <c r="BK181" s="57" t="s">
        <v>115</v>
      </c>
      <c r="BL181" s="54">
        <v>12</v>
      </c>
      <c r="BW181" s="54">
        <v>21</v>
      </c>
      <c r="BX181" s="3" t="s">
        <v>504</v>
      </c>
    </row>
    <row r="182" spans="1:76" x14ac:dyDescent="0.25">
      <c r="A182" s="1" t="s">
        <v>505</v>
      </c>
      <c r="B182" s="2" t="s">
        <v>506</v>
      </c>
      <c r="C182" s="83" t="s">
        <v>507</v>
      </c>
      <c r="D182" s="78"/>
      <c r="E182" s="2" t="s">
        <v>177</v>
      </c>
      <c r="F182" s="54">
        <v>126.88</v>
      </c>
      <c r="G182" s="55">
        <v>0</v>
      </c>
      <c r="H182" s="54">
        <f>ROUND(F182*AO182,2)</f>
        <v>0</v>
      </c>
      <c r="I182" s="54">
        <f>ROUND(F182*AP182,2)</f>
        <v>0</v>
      </c>
      <c r="J182" s="54">
        <f>ROUND(F182*G182,2)</f>
        <v>0</v>
      </c>
      <c r="K182" s="56" t="s">
        <v>120</v>
      </c>
      <c r="Z182" s="54">
        <f>ROUND(IF(AQ182="5",BJ182,0),2)</f>
        <v>0</v>
      </c>
      <c r="AB182" s="54">
        <f>ROUND(IF(AQ182="1",BH182,0),2)</f>
        <v>0</v>
      </c>
      <c r="AC182" s="54">
        <f>ROUND(IF(AQ182="1",BI182,0),2)</f>
        <v>0</v>
      </c>
      <c r="AD182" s="54">
        <f>ROUND(IF(AQ182="7",BH182,0),2)</f>
        <v>0</v>
      </c>
      <c r="AE182" s="54">
        <f>ROUND(IF(AQ182="7",BI182,0),2)</f>
        <v>0</v>
      </c>
      <c r="AF182" s="54">
        <f>ROUND(IF(AQ182="2",BH182,0),2)</f>
        <v>0</v>
      </c>
      <c r="AG182" s="54">
        <f>ROUND(IF(AQ182="2",BI182,0),2)</f>
        <v>0</v>
      </c>
      <c r="AH182" s="54">
        <f>ROUND(IF(AQ182="0",BJ182,0),2)</f>
        <v>0</v>
      </c>
      <c r="AI182" s="34" t="s">
        <v>127</v>
      </c>
      <c r="AJ182" s="54">
        <f>IF(AN182=0,J182,0)</f>
        <v>0</v>
      </c>
      <c r="AK182" s="54">
        <f>IF(AN182=0,J182,0)</f>
        <v>0</v>
      </c>
      <c r="AL182" s="54">
        <f>IF(AN182=21,J182,0)</f>
        <v>0</v>
      </c>
      <c r="AN182" s="54">
        <v>21</v>
      </c>
      <c r="AO182" s="54">
        <f>G182*0</f>
        <v>0</v>
      </c>
      <c r="AP182" s="54">
        <f>G182*(1-0)</f>
        <v>0</v>
      </c>
      <c r="AQ182" s="57" t="s">
        <v>108</v>
      </c>
      <c r="AV182" s="54">
        <f>ROUND(AW182+AX182,2)</f>
        <v>0</v>
      </c>
      <c r="AW182" s="54">
        <f>ROUND(F182*AO182,2)</f>
        <v>0</v>
      </c>
      <c r="AX182" s="54">
        <f>ROUND(F182*AP182,2)</f>
        <v>0</v>
      </c>
      <c r="AY182" s="57" t="s">
        <v>500</v>
      </c>
      <c r="AZ182" s="57" t="s">
        <v>501</v>
      </c>
      <c r="BA182" s="34" t="s">
        <v>132</v>
      </c>
      <c r="BC182" s="54">
        <f>AW182+AX182</f>
        <v>0</v>
      </c>
      <c r="BD182" s="54">
        <f>G182/(100-BE182)*100</f>
        <v>0</v>
      </c>
      <c r="BE182" s="54">
        <v>0</v>
      </c>
      <c r="BF182" s="54">
        <f>182</f>
        <v>182</v>
      </c>
      <c r="BH182" s="54">
        <f>F182*AO182</f>
        <v>0</v>
      </c>
      <c r="BI182" s="54">
        <f>F182*AP182</f>
        <v>0</v>
      </c>
      <c r="BJ182" s="54">
        <f>F182*G182</f>
        <v>0</v>
      </c>
      <c r="BK182" s="57" t="s">
        <v>115</v>
      </c>
      <c r="BL182" s="54">
        <v>12</v>
      </c>
      <c r="BW182" s="54">
        <v>21</v>
      </c>
      <c r="BX182" s="3" t="s">
        <v>507</v>
      </c>
    </row>
    <row r="183" spans="1:76" x14ac:dyDescent="0.25">
      <c r="A183" s="1" t="s">
        <v>508</v>
      </c>
      <c r="B183" s="2" t="s">
        <v>241</v>
      </c>
      <c r="C183" s="83" t="s">
        <v>242</v>
      </c>
      <c r="D183" s="78"/>
      <c r="E183" s="2" t="s">
        <v>177</v>
      </c>
      <c r="F183" s="54">
        <v>126.88</v>
      </c>
      <c r="G183" s="55">
        <v>0</v>
      </c>
      <c r="H183" s="54">
        <f>ROUND(F183*AO183,2)</f>
        <v>0</v>
      </c>
      <c r="I183" s="54">
        <f>ROUND(F183*AP183,2)</f>
        <v>0</v>
      </c>
      <c r="J183" s="54">
        <f>ROUND(F183*G183,2)</f>
        <v>0</v>
      </c>
      <c r="K183" s="56" t="s">
        <v>120</v>
      </c>
      <c r="Z183" s="54">
        <f>ROUND(IF(AQ183="5",BJ183,0),2)</f>
        <v>0</v>
      </c>
      <c r="AB183" s="54">
        <f>ROUND(IF(AQ183="1",BH183,0),2)</f>
        <v>0</v>
      </c>
      <c r="AC183" s="54">
        <f>ROUND(IF(AQ183="1",BI183,0),2)</f>
        <v>0</v>
      </c>
      <c r="AD183" s="54">
        <f>ROUND(IF(AQ183="7",BH183,0),2)</f>
        <v>0</v>
      </c>
      <c r="AE183" s="54">
        <f>ROUND(IF(AQ183="7",BI183,0),2)</f>
        <v>0</v>
      </c>
      <c r="AF183" s="54">
        <f>ROUND(IF(AQ183="2",BH183,0),2)</f>
        <v>0</v>
      </c>
      <c r="AG183" s="54">
        <f>ROUND(IF(AQ183="2",BI183,0),2)</f>
        <v>0</v>
      </c>
      <c r="AH183" s="54">
        <f>ROUND(IF(AQ183="0",BJ183,0),2)</f>
        <v>0</v>
      </c>
      <c r="AI183" s="34" t="s">
        <v>127</v>
      </c>
      <c r="AJ183" s="54">
        <f>IF(AN183=0,J183,0)</f>
        <v>0</v>
      </c>
      <c r="AK183" s="54">
        <f>IF(AN183=0,J183,0)</f>
        <v>0</v>
      </c>
      <c r="AL183" s="54">
        <f>IF(AN183=21,J183,0)</f>
        <v>0</v>
      </c>
      <c r="AN183" s="54">
        <v>21</v>
      </c>
      <c r="AO183" s="54">
        <f>G183*0</f>
        <v>0</v>
      </c>
      <c r="AP183" s="54">
        <f>G183*(1-0)</f>
        <v>0</v>
      </c>
      <c r="AQ183" s="57" t="s">
        <v>108</v>
      </c>
      <c r="AV183" s="54">
        <f>ROUND(AW183+AX183,2)</f>
        <v>0</v>
      </c>
      <c r="AW183" s="54">
        <f>ROUND(F183*AO183,2)</f>
        <v>0</v>
      </c>
      <c r="AX183" s="54">
        <f>ROUND(F183*AP183,2)</f>
        <v>0</v>
      </c>
      <c r="AY183" s="57" t="s">
        <v>500</v>
      </c>
      <c r="AZ183" s="57" t="s">
        <v>501</v>
      </c>
      <c r="BA183" s="34" t="s">
        <v>132</v>
      </c>
      <c r="BC183" s="54">
        <f>AW183+AX183</f>
        <v>0</v>
      </c>
      <c r="BD183" s="54">
        <f>G183/(100-BE183)*100</f>
        <v>0</v>
      </c>
      <c r="BE183" s="54">
        <v>0</v>
      </c>
      <c r="BF183" s="54">
        <f>183</f>
        <v>183</v>
      </c>
      <c r="BH183" s="54">
        <f>F183*AO183</f>
        <v>0</v>
      </c>
      <c r="BI183" s="54">
        <f>F183*AP183</f>
        <v>0</v>
      </c>
      <c r="BJ183" s="54">
        <f>F183*G183</f>
        <v>0</v>
      </c>
      <c r="BK183" s="57" t="s">
        <v>115</v>
      </c>
      <c r="BL183" s="54">
        <v>12</v>
      </c>
      <c r="BW183" s="54">
        <v>21</v>
      </c>
      <c r="BX183" s="3" t="s">
        <v>242</v>
      </c>
    </row>
    <row r="184" spans="1:76" x14ac:dyDescent="0.25">
      <c r="A184" s="1" t="s">
        <v>509</v>
      </c>
      <c r="B184" s="2" t="s">
        <v>425</v>
      </c>
      <c r="C184" s="83" t="s">
        <v>426</v>
      </c>
      <c r="D184" s="78"/>
      <c r="E184" s="2" t="s">
        <v>119</v>
      </c>
      <c r="F184" s="54">
        <v>226</v>
      </c>
      <c r="G184" s="55">
        <v>0</v>
      </c>
      <c r="H184" s="54">
        <f>ROUND(F184*AO184,2)</f>
        <v>0</v>
      </c>
      <c r="I184" s="54">
        <f>ROUND(F184*AP184,2)</f>
        <v>0</v>
      </c>
      <c r="J184" s="54">
        <f>ROUND(F184*G184,2)</f>
        <v>0</v>
      </c>
      <c r="K184" s="56" t="s">
        <v>120</v>
      </c>
      <c r="Z184" s="54">
        <f>ROUND(IF(AQ184="5",BJ184,0),2)</f>
        <v>0</v>
      </c>
      <c r="AB184" s="54">
        <f>ROUND(IF(AQ184="1",BH184,0),2)</f>
        <v>0</v>
      </c>
      <c r="AC184" s="54">
        <f>ROUND(IF(AQ184="1",BI184,0),2)</f>
        <v>0</v>
      </c>
      <c r="AD184" s="54">
        <f>ROUND(IF(AQ184="7",BH184,0),2)</f>
        <v>0</v>
      </c>
      <c r="AE184" s="54">
        <f>ROUND(IF(AQ184="7",BI184,0),2)</f>
        <v>0</v>
      </c>
      <c r="AF184" s="54">
        <f>ROUND(IF(AQ184="2",BH184,0),2)</f>
        <v>0</v>
      </c>
      <c r="AG184" s="54">
        <f>ROUND(IF(AQ184="2",BI184,0),2)</f>
        <v>0</v>
      </c>
      <c r="AH184" s="54">
        <f>ROUND(IF(AQ184="0",BJ184,0),2)</f>
        <v>0</v>
      </c>
      <c r="AI184" s="34" t="s">
        <v>127</v>
      </c>
      <c r="AJ184" s="54">
        <f>IF(AN184=0,J184,0)</f>
        <v>0</v>
      </c>
      <c r="AK184" s="54">
        <f>IF(AN184=0,J184,0)</f>
        <v>0</v>
      </c>
      <c r="AL184" s="54">
        <f>IF(AN184=21,J184,0)</f>
        <v>0</v>
      </c>
      <c r="AN184" s="54">
        <v>21</v>
      </c>
      <c r="AO184" s="54">
        <f>G184*0</f>
        <v>0</v>
      </c>
      <c r="AP184" s="54">
        <f>G184*(1-0)</f>
        <v>0</v>
      </c>
      <c r="AQ184" s="57" t="s">
        <v>108</v>
      </c>
      <c r="AV184" s="54">
        <f>ROUND(AW184+AX184,2)</f>
        <v>0</v>
      </c>
      <c r="AW184" s="54">
        <f>ROUND(F184*AO184,2)</f>
        <v>0</v>
      </c>
      <c r="AX184" s="54">
        <f>ROUND(F184*AP184,2)</f>
        <v>0</v>
      </c>
      <c r="AY184" s="57" t="s">
        <v>500</v>
      </c>
      <c r="AZ184" s="57" t="s">
        <v>501</v>
      </c>
      <c r="BA184" s="34" t="s">
        <v>132</v>
      </c>
      <c r="BC184" s="54">
        <f>AW184+AX184</f>
        <v>0</v>
      </c>
      <c r="BD184" s="54">
        <f>G184/(100-BE184)*100</f>
        <v>0</v>
      </c>
      <c r="BE184" s="54">
        <v>0</v>
      </c>
      <c r="BF184" s="54">
        <f>184</f>
        <v>184</v>
      </c>
      <c r="BH184" s="54">
        <f>F184*AO184</f>
        <v>0</v>
      </c>
      <c r="BI184" s="54">
        <f>F184*AP184</f>
        <v>0</v>
      </c>
      <c r="BJ184" s="54">
        <f>F184*G184</f>
        <v>0</v>
      </c>
      <c r="BK184" s="57" t="s">
        <v>115</v>
      </c>
      <c r="BL184" s="54">
        <v>12</v>
      </c>
      <c r="BW184" s="54">
        <v>21</v>
      </c>
      <c r="BX184" s="3" t="s">
        <v>426</v>
      </c>
    </row>
    <row r="185" spans="1:76" x14ac:dyDescent="0.25">
      <c r="A185" s="49" t="s">
        <v>4</v>
      </c>
      <c r="B185" s="50" t="s">
        <v>180</v>
      </c>
      <c r="C185" s="161" t="s">
        <v>457</v>
      </c>
      <c r="D185" s="162"/>
      <c r="E185" s="51" t="s">
        <v>69</v>
      </c>
      <c r="F185" s="51" t="s">
        <v>69</v>
      </c>
      <c r="G185" s="52" t="s">
        <v>69</v>
      </c>
      <c r="H185" s="28">
        <f>SUM(H186:H186)</f>
        <v>0</v>
      </c>
      <c r="I185" s="28">
        <f>SUM(I186:I186)</f>
        <v>0</v>
      </c>
      <c r="J185" s="28">
        <f>SUM(J186:J186)</f>
        <v>0</v>
      </c>
      <c r="K185" s="53" t="s">
        <v>4</v>
      </c>
      <c r="AI185" s="34" t="s">
        <v>127</v>
      </c>
      <c r="AS185" s="28">
        <f>SUM(AJ186:AJ186)</f>
        <v>0</v>
      </c>
      <c r="AT185" s="28">
        <f>SUM(AK186:AK186)</f>
        <v>0</v>
      </c>
      <c r="AU185" s="28">
        <f>SUM(AL186:AL186)</f>
        <v>0</v>
      </c>
    </row>
    <row r="186" spans="1:76" x14ac:dyDescent="0.25">
      <c r="A186" s="1" t="s">
        <v>510</v>
      </c>
      <c r="B186" s="2" t="s">
        <v>428</v>
      </c>
      <c r="C186" s="83" t="s">
        <v>429</v>
      </c>
      <c r="D186" s="78"/>
      <c r="E186" s="2" t="s">
        <v>177</v>
      </c>
      <c r="F186" s="54">
        <v>71.19</v>
      </c>
      <c r="G186" s="55">
        <v>0</v>
      </c>
      <c r="H186" s="54">
        <f>ROUND(F186*AO186,2)</f>
        <v>0</v>
      </c>
      <c r="I186" s="54">
        <f>ROUND(F186*AP186,2)</f>
        <v>0</v>
      </c>
      <c r="J186" s="54">
        <f>ROUND(F186*G186,2)</f>
        <v>0</v>
      </c>
      <c r="K186" s="56" t="s">
        <v>120</v>
      </c>
      <c r="Z186" s="54">
        <f>ROUND(IF(AQ186="5",BJ186,0),2)</f>
        <v>0</v>
      </c>
      <c r="AB186" s="54">
        <f>ROUND(IF(AQ186="1",BH186,0),2)</f>
        <v>0</v>
      </c>
      <c r="AC186" s="54">
        <f>ROUND(IF(AQ186="1",BI186,0),2)</f>
        <v>0</v>
      </c>
      <c r="AD186" s="54">
        <f>ROUND(IF(AQ186="7",BH186,0),2)</f>
        <v>0</v>
      </c>
      <c r="AE186" s="54">
        <f>ROUND(IF(AQ186="7",BI186,0),2)</f>
        <v>0</v>
      </c>
      <c r="AF186" s="54">
        <f>ROUND(IF(AQ186="2",BH186,0),2)</f>
        <v>0</v>
      </c>
      <c r="AG186" s="54">
        <f>ROUND(IF(AQ186="2",BI186,0),2)</f>
        <v>0</v>
      </c>
      <c r="AH186" s="54">
        <f>ROUND(IF(AQ186="0",BJ186,0),2)</f>
        <v>0</v>
      </c>
      <c r="AI186" s="34" t="s">
        <v>127</v>
      </c>
      <c r="AJ186" s="54">
        <f>IF(AN186=0,J186,0)</f>
        <v>0</v>
      </c>
      <c r="AK186" s="54">
        <f>IF(AN186=0,J186,0)</f>
        <v>0</v>
      </c>
      <c r="AL186" s="54">
        <f>IF(AN186=21,J186,0)</f>
        <v>0</v>
      </c>
      <c r="AN186" s="54">
        <v>21</v>
      </c>
      <c r="AO186" s="54">
        <f>G186*0</f>
        <v>0</v>
      </c>
      <c r="AP186" s="54">
        <f>G186*(1-0)</f>
        <v>0</v>
      </c>
      <c r="AQ186" s="57" t="s">
        <v>108</v>
      </c>
      <c r="AV186" s="54">
        <f>ROUND(AW186+AX186,2)</f>
        <v>0</v>
      </c>
      <c r="AW186" s="54">
        <f>ROUND(F186*AO186,2)</f>
        <v>0</v>
      </c>
      <c r="AX186" s="54">
        <f>ROUND(F186*AP186,2)</f>
        <v>0</v>
      </c>
      <c r="AY186" s="57" t="s">
        <v>461</v>
      </c>
      <c r="AZ186" s="57" t="s">
        <v>501</v>
      </c>
      <c r="BA186" s="34" t="s">
        <v>132</v>
      </c>
      <c r="BC186" s="54">
        <f>AW186+AX186</f>
        <v>0</v>
      </c>
      <c r="BD186" s="54">
        <f>G186/(100-BE186)*100</f>
        <v>0</v>
      </c>
      <c r="BE186" s="54">
        <v>0</v>
      </c>
      <c r="BF186" s="54">
        <f>186</f>
        <v>186</v>
      </c>
      <c r="BH186" s="54">
        <f>F186*AO186</f>
        <v>0</v>
      </c>
      <c r="BI186" s="54">
        <f>F186*AP186</f>
        <v>0</v>
      </c>
      <c r="BJ186" s="54">
        <f>F186*G186</f>
        <v>0</v>
      </c>
      <c r="BK186" s="57" t="s">
        <v>115</v>
      </c>
      <c r="BL186" s="54">
        <v>17</v>
      </c>
      <c r="BW186" s="54">
        <v>21</v>
      </c>
      <c r="BX186" s="3" t="s">
        <v>429</v>
      </c>
    </row>
    <row r="187" spans="1:76" ht="27" customHeight="1" x14ac:dyDescent="0.25">
      <c r="A187" s="58"/>
      <c r="B187" s="59" t="s">
        <v>53</v>
      </c>
      <c r="C187" s="163" t="s">
        <v>511</v>
      </c>
      <c r="D187" s="164"/>
      <c r="E187" s="164"/>
      <c r="F187" s="164"/>
      <c r="G187" s="165"/>
      <c r="H187" s="164"/>
      <c r="I187" s="164"/>
      <c r="J187" s="164"/>
      <c r="K187" s="166"/>
    </row>
    <row r="188" spans="1:76" x14ac:dyDescent="0.25">
      <c r="A188" s="49" t="s">
        <v>4</v>
      </c>
      <c r="B188" s="50" t="s">
        <v>311</v>
      </c>
      <c r="C188" s="161" t="s">
        <v>512</v>
      </c>
      <c r="D188" s="162"/>
      <c r="E188" s="51" t="s">
        <v>69</v>
      </c>
      <c r="F188" s="51" t="s">
        <v>69</v>
      </c>
      <c r="G188" s="52" t="s">
        <v>69</v>
      </c>
      <c r="H188" s="28">
        <f>SUM(H189:H191)</f>
        <v>0</v>
      </c>
      <c r="I188" s="28">
        <f>SUM(I189:I191)</f>
        <v>0</v>
      </c>
      <c r="J188" s="28">
        <f>SUM(J189:J191)</f>
        <v>0</v>
      </c>
      <c r="K188" s="53" t="s">
        <v>4</v>
      </c>
      <c r="AI188" s="34" t="s">
        <v>127</v>
      </c>
      <c r="AS188" s="28">
        <f>SUM(AJ189:AJ191)</f>
        <v>0</v>
      </c>
      <c r="AT188" s="28">
        <f>SUM(AK189:AK191)</f>
        <v>0</v>
      </c>
      <c r="AU188" s="28">
        <f>SUM(AL189:AL191)</f>
        <v>0</v>
      </c>
    </row>
    <row r="189" spans="1:76" x14ac:dyDescent="0.25">
      <c r="A189" s="1" t="s">
        <v>513</v>
      </c>
      <c r="B189" s="2" t="s">
        <v>514</v>
      </c>
      <c r="C189" s="83" t="s">
        <v>515</v>
      </c>
      <c r="D189" s="78"/>
      <c r="E189" s="2" t="s">
        <v>119</v>
      </c>
      <c r="F189" s="54">
        <v>226</v>
      </c>
      <c r="G189" s="55">
        <v>0</v>
      </c>
      <c r="H189" s="54">
        <f>ROUND(F189*AO189,2)</f>
        <v>0</v>
      </c>
      <c r="I189" s="54">
        <f>ROUND(F189*AP189,2)</f>
        <v>0</v>
      </c>
      <c r="J189" s="54">
        <f>ROUND(F189*G189,2)</f>
        <v>0</v>
      </c>
      <c r="K189" s="56" t="s">
        <v>120</v>
      </c>
      <c r="Z189" s="54">
        <f>ROUND(IF(AQ189="5",BJ189,0),2)</f>
        <v>0</v>
      </c>
      <c r="AB189" s="54">
        <f>ROUND(IF(AQ189="1",BH189,0),2)</f>
        <v>0</v>
      </c>
      <c r="AC189" s="54">
        <f>ROUND(IF(AQ189="1",BI189,0),2)</f>
        <v>0</v>
      </c>
      <c r="AD189" s="54">
        <f>ROUND(IF(AQ189="7",BH189,0),2)</f>
        <v>0</v>
      </c>
      <c r="AE189" s="54">
        <f>ROUND(IF(AQ189="7",BI189,0),2)</f>
        <v>0</v>
      </c>
      <c r="AF189" s="54">
        <f>ROUND(IF(AQ189="2",BH189,0),2)</f>
        <v>0</v>
      </c>
      <c r="AG189" s="54">
        <f>ROUND(IF(AQ189="2",BI189,0),2)</f>
        <v>0</v>
      </c>
      <c r="AH189" s="54">
        <f>ROUND(IF(AQ189="0",BJ189,0),2)</f>
        <v>0</v>
      </c>
      <c r="AI189" s="34" t="s">
        <v>127</v>
      </c>
      <c r="AJ189" s="54">
        <f>IF(AN189=0,J189,0)</f>
        <v>0</v>
      </c>
      <c r="AK189" s="54">
        <f>IF(AN189=0,J189,0)</f>
        <v>0</v>
      </c>
      <c r="AL189" s="54">
        <f>IF(AN189=21,J189,0)</f>
        <v>0</v>
      </c>
      <c r="AN189" s="54">
        <v>21</v>
      </c>
      <c r="AO189" s="54">
        <f>G189*0.706940639</f>
        <v>0</v>
      </c>
      <c r="AP189" s="54">
        <f>G189*(1-0.706940639)</f>
        <v>0</v>
      </c>
      <c r="AQ189" s="57" t="s">
        <v>108</v>
      </c>
      <c r="AV189" s="54">
        <f>ROUND(AW189+AX189,2)</f>
        <v>0</v>
      </c>
      <c r="AW189" s="54">
        <f>ROUND(F189*AO189,2)</f>
        <v>0</v>
      </c>
      <c r="AX189" s="54">
        <f>ROUND(F189*AP189,2)</f>
        <v>0</v>
      </c>
      <c r="AY189" s="57" t="s">
        <v>516</v>
      </c>
      <c r="AZ189" s="57" t="s">
        <v>517</v>
      </c>
      <c r="BA189" s="34" t="s">
        <v>132</v>
      </c>
      <c r="BC189" s="54">
        <f>AW189+AX189</f>
        <v>0</v>
      </c>
      <c r="BD189" s="54">
        <f>G189/(100-BE189)*100</f>
        <v>0</v>
      </c>
      <c r="BE189" s="54">
        <v>0</v>
      </c>
      <c r="BF189" s="54">
        <f>189</f>
        <v>189</v>
      </c>
      <c r="BH189" s="54">
        <f>F189*AO189</f>
        <v>0</v>
      </c>
      <c r="BI189" s="54">
        <f>F189*AP189</f>
        <v>0</v>
      </c>
      <c r="BJ189" s="54">
        <f>F189*G189</f>
        <v>0</v>
      </c>
      <c r="BK189" s="57" t="s">
        <v>115</v>
      </c>
      <c r="BL189" s="54">
        <v>56</v>
      </c>
      <c r="BW189" s="54">
        <v>21</v>
      </c>
      <c r="BX189" s="3" t="s">
        <v>515</v>
      </c>
    </row>
    <row r="190" spans="1:76" ht="13.5" customHeight="1" x14ac:dyDescent="0.25">
      <c r="A190" s="58"/>
      <c r="B190" s="59" t="s">
        <v>53</v>
      </c>
      <c r="C190" s="163" t="s">
        <v>438</v>
      </c>
      <c r="D190" s="164"/>
      <c r="E190" s="164"/>
      <c r="F190" s="164"/>
      <c r="G190" s="165"/>
      <c r="H190" s="164"/>
      <c r="I190" s="164"/>
      <c r="J190" s="164"/>
      <c r="K190" s="166"/>
    </row>
    <row r="191" spans="1:76" x14ac:dyDescent="0.25">
      <c r="A191" s="1" t="s">
        <v>518</v>
      </c>
      <c r="B191" s="2" t="s">
        <v>436</v>
      </c>
      <c r="C191" s="83" t="s">
        <v>519</v>
      </c>
      <c r="D191" s="78"/>
      <c r="E191" s="2" t="s">
        <v>119</v>
      </c>
      <c r="F191" s="54">
        <v>226</v>
      </c>
      <c r="G191" s="55">
        <v>0</v>
      </c>
      <c r="H191" s="54">
        <f>ROUND(F191*AO191,2)</f>
        <v>0</v>
      </c>
      <c r="I191" s="54">
        <f>ROUND(F191*AP191,2)</f>
        <v>0</v>
      </c>
      <c r="J191" s="54">
        <f>ROUND(F191*G191,2)</f>
        <v>0</v>
      </c>
      <c r="K191" s="56" t="s">
        <v>120</v>
      </c>
      <c r="Z191" s="54">
        <f>ROUND(IF(AQ191="5",BJ191,0),2)</f>
        <v>0</v>
      </c>
      <c r="AB191" s="54">
        <f>ROUND(IF(AQ191="1",BH191,0),2)</f>
        <v>0</v>
      </c>
      <c r="AC191" s="54">
        <f>ROUND(IF(AQ191="1",BI191,0),2)</f>
        <v>0</v>
      </c>
      <c r="AD191" s="54">
        <f>ROUND(IF(AQ191="7",BH191,0),2)</f>
        <v>0</v>
      </c>
      <c r="AE191" s="54">
        <f>ROUND(IF(AQ191="7",BI191,0),2)</f>
        <v>0</v>
      </c>
      <c r="AF191" s="54">
        <f>ROUND(IF(AQ191="2",BH191,0),2)</f>
        <v>0</v>
      </c>
      <c r="AG191" s="54">
        <f>ROUND(IF(AQ191="2",BI191,0),2)</f>
        <v>0</v>
      </c>
      <c r="AH191" s="54">
        <f>ROUND(IF(AQ191="0",BJ191,0),2)</f>
        <v>0</v>
      </c>
      <c r="AI191" s="34" t="s">
        <v>127</v>
      </c>
      <c r="AJ191" s="54">
        <f>IF(AN191=0,J191,0)</f>
        <v>0</v>
      </c>
      <c r="AK191" s="54">
        <f>IF(AN191=0,J191,0)</f>
        <v>0</v>
      </c>
      <c r="AL191" s="54">
        <f>IF(AN191=21,J191,0)</f>
        <v>0</v>
      </c>
      <c r="AN191" s="54">
        <v>21</v>
      </c>
      <c r="AO191" s="54">
        <f>G191*0.721021021</f>
        <v>0</v>
      </c>
      <c r="AP191" s="54">
        <f>G191*(1-0.721021021)</f>
        <v>0</v>
      </c>
      <c r="AQ191" s="57" t="s">
        <v>108</v>
      </c>
      <c r="AV191" s="54">
        <f>ROUND(AW191+AX191,2)</f>
        <v>0</v>
      </c>
      <c r="AW191" s="54">
        <f>ROUND(F191*AO191,2)</f>
        <v>0</v>
      </c>
      <c r="AX191" s="54">
        <f>ROUND(F191*AP191,2)</f>
        <v>0</v>
      </c>
      <c r="AY191" s="57" t="s">
        <v>516</v>
      </c>
      <c r="AZ191" s="57" t="s">
        <v>517</v>
      </c>
      <c r="BA191" s="34" t="s">
        <v>132</v>
      </c>
      <c r="BC191" s="54">
        <f>AW191+AX191</f>
        <v>0</v>
      </c>
      <c r="BD191" s="54">
        <f>G191/(100-BE191)*100</f>
        <v>0</v>
      </c>
      <c r="BE191" s="54">
        <v>0</v>
      </c>
      <c r="BF191" s="54">
        <f>191</f>
        <v>191</v>
      </c>
      <c r="BH191" s="54">
        <f>F191*AO191</f>
        <v>0</v>
      </c>
      <c r="BI191" s="54">
        <f>F191*AP191</f>
        <v>0</v>
      </c>
      <c r="BJ191" s="54">
        <f>F191*G191</f>
        <v>0</v>
      </c>
      <c r="BK191" s="57" t="s">
        <v>115</v>
      </c>
      <c r="BL191" s="54">
        <v>56</v>
      </c>
      <c r="BW191" s="54">
        <v>21</v>
      </c>
      <c r="BX191" s="3" t="s">
        <v>519</v>
      </c>
    </row>
    <row r="192" spans="1:76" ht="13.5" customHeight="1" x14ac:dyDescent="0.25">
      <c r="A192" s="58"/>
      <c r="B192" s="59" t="s">
        <v>53</v>
      </c>
      <c r="C192" s="163" t="s">
        <v>438</v>
      </c>
      <c r="D192" s="164"/>
      <c r="E192" s="164"/>
      <c r="F192" s="164"/>
      <c r="G192" s="165"/>
      <c r="H192" s="164"/>
      <c r="I192" s="164"/>
      <c r="J192" s="164"/>
      <c r="K192" s="166"/>
    </row>
    <row r="193" spans="1:76" x14ac:dyDescent="0.25">
      <c r="A193" s="49" t="s">
        <v>4</v>
      </c>
      <c r="B193" s="50" t="s">
        <v>322</v>
      </c>
      <c r="C193" s="161" t="s">
        <v>520</v>
      </c>
      <c r="D193" s="162"/>
      <c r="E193" s="51" t="s">
        <v>69</v>
      </c>
      <c r="F193" s="51" t="s">
        <v>69</v>
      </c>
      <c r="G193" s="52" t="s">
        <v>69</v>
      </c>
      <c r="H193" s="28">
        <f>SUM(H194:H194)</f>
        <v>0</v>
      </c>
      <c r="I193" s="28">
        <f>SUM(I194:I194)</f>
        <v>0</v>
      </c>
      <c r="J193" s="28">
        <f>SUM(J194:J194)</f>
        <v>0</v>
      </c>
      <c r="K193" s="53" t="s">
        <v>4</v>
      </c>
      <c r="AI193" s="34" t="s">
        <v>127</v>
      </c>
      <c r="AS193" s="28">
        <f>SUM(AJ194:AJ194)</f>
        <v>0</v>
      </c>
      <c r="AT193" s="28">
        <f>SUM(AK194:AK194)</f>
        <v>0</v>
      </c>
      <c r="AU193" s="28">
        <f>SUM(AL194:AL194)</f>
        <v>0</v>
      </c>
    </row>
    <row r="194" spans="1:76" x14ac:dyDescent="0.25">
      <c r="A194" s="1" t="s">
        <v>521</v>
      </c>
      <c r="B194" s="2" t="s">
        <v>522</v>
      </c>
      <c r="C194" s="83" t="s">
        <v>523</v>
      </c>
      <c r="D194" s="78"/>
      <c r="E194" s="2" t="s">
        <v>119</v>
      </c>
      <c r="F194" s="54">
        <v>226</v>
      </c>
      <c r="G194" s="55">
        <v>0</v>
      </c>
      <c r="H194" s="54">
        <f>ROUND(F194*AO194,2)</f>
        <v>0</v>
      </c>
      <c r="I194" s="54">
        <f>ROUND(F194*AP194,2)</f>
        <v>0</v>
      </c>
      <c r="J194" s="54">
        <f>ROUND(F194*G194,2)</f>
        <v>0</v>
      </c>
      <c r="K194" s="56" t="s">
        <v>120</v>
      </c>
      <c r="Z194" s="54">
        <f>ROUND(IF(AQ194="5",BJ194,0),2)</f>
        <v>0</v>
      </c>
      <c r="AB194" s="54">
        <f>ROUND(IF(AQ194="1",BH194,0),2)</f>
        <v>0</v>
      </c>
      <c r="AC194" s="54">
        <f>ROUND(IF(AQ194="1",BI194,0),2)</f>
        <v>0</v>
      </c>
      <c r="AD194" s="54">
        <f>ROUND(IF(AQ194="7",BH194,0),2)</f>
        <v>0</v>
      </c>
      <c r="AE194" s="54">
        <f>ROUND(IF(AQ194="7",BI194,0),2)</f>
        <v>0</v>
      </c>
      <c r="AF194" s="54">
        <f>ROUND(IF(AQ194="2",BH194,0),2)</f>
        <v>0</v>
      </c>
      <c r="AG194" s="54">
        <f>ROUND(IF(AQ194="2",BI194,0),2)</f>
        <v>0</v>
      </c>
      <c r="AH194" s="54">
        <f>ROUND(IF(AQ194="0",BJ194,0),2)</f>
        <v>0</v>
      </c>
      <c r="AI194" s="34" t="s">
        <v>127</v>
      </c>
      <c r="AJ194" s="54">
        <f>IF(AN194=0,J194,0)</f>
        <v>0</v>
      </c>
      <c r="AK194" s="54">
        <f>IF(AN194=0,J194,0)</f>
        <v>0</v>
      </c>
      <c r="AL194" s="54">
        <f>IF(AN194=21,J194,0)</f>
        <v>0</v>
      </c>
      <c r="AN194" s="54">
        <v>21</v>
      </c>
      <c r="AO194" s="54">
        <f>G194*0.08952791</f>
        <v>0</v>
      </c>
      <c r="AP194" s="54">
        <f>G194*(1-0.08952791)</f>
        <v>0</v>
      </c>
      <c r="AQ194" s="57" t="s">
        <v>108</v>
      </c>
      <c r="AV194" s="54">
        <f>ROUND(AW194+AX194,2)</f>
        <v>0</v>
      </c>
      <c r="AW194" s="54">
        <f>ROUND(F194*AO194,2)</f>
        <v>0</v>
      </c>
      <c r="AX194" s="54">
        <f>ROUND(F194*AP194,2)</f>
        <v>0</v>
      </c>
      <c r="AY194" s="57" t="s">
        <v>524</v>
      </c>
      <c r="AZ194" s="57" t="s">
        <v>525</v>
      </c>
      <c r="BA194" s="34" t="s">
        <v>132</v>
      </c>
      <c r="BC194" s="54">
        <f>AW194+AX194</f>
        <v>0</v>
      </c>
      <c r="BD194" s="54">
        <f>G194/(100-BE194)*100</f>
        <v>0</v>
      </c>
      <c r="BE194" s="54">
        <v>0</v>
      </c>
      <c r="BF194" s="54">
        <f>194</f>
        <v>194</v>
      </c>
      <c r="BH194" s="54">
        <f>F194*AO194</f>
        <v>0</v>
      </c>
      <c r="BI194" s="54">
        <f>F194*AP194</f>
        <v>0</v>
      </c>
      <c r="BJ194" s="54">
        <f>F194*G194</f>
        <v>0</v>
      </c>
      <c r="BK194" s="57" t="s">
        <v>115</v>
      </c>
      <c r="BL194" s="54">
        <v>63</v>
      </c>
      <c r="BW194" s="54">
        <v>21</v>
      </c>
      <c r="BX194" s="3" t="s">
        <v>523</v>
      </c>
    </row>
    <row r="195" spans="1:76" x14ac:dyDescent="0.25">
      <c r="A195" s="49" t="s">
        <v>4</v>
      </c>
      <c r="B195" s="50" t="s">
        <v>526</v>
      </c>
      <c r="C195" s="161" t="s">
        <v>527</v>
      </c>
      <c r="D195" s="162"/>
      <c r="E195" s="51" t="s">
        <v>69</v>
      </c>
      <c r="F195" s="51" t="s">
        <v>69</v>
      </c>
      <c r="G195" s="52" t="s">
        <v>69</v>
      </c>
      <c r="H195" s="28">
        <f>SUM(H196:H196)</f>
        <v>0</v>
      </c>
      <c r="I195" s="28">
        <f>SUM(I196:I196)</f>
        <v>0</v>
      </c>
      <c r="J195" s="28">
        <f>SUM(J196:J196)</f>
        <v>0</v>
      </c>
      <c r="K195" s="53" t="s">
        <v>4</v>
      </c>
      <c r="AI195" s="34" t="s">
        <v>127</v>
      </c>
      <c r="AS195" s="28">
        <f>SUM(AJ196:AJ196)</f>
        <v>0</v>
      </c>
      <c r="AT195" s="28">
        <f>SUM(AK196:AK196)</f>
        <v>0</v>
      </c>
      <c r="AU195" s="28">
        <f>SUM(AL196:AL196)</f>
        <v>0</v>
      </c>
    </row>
    <row r="196" spans="1:76" x14ac:dyDescent="0.25">
      <c r="A196" s="1" t="s">
        <v>528</v>
      </c>
      <c r="B196" s="2" t="s">
        <v>442</v>
      </c>
      <c r="C196" s="83" t="s">
        <v>529</v>
      </c>
      <c r="D196" s="78"/>
      <c r="E196" s="2" t="s">
        <v>444</v>
      </c>
      <c r="F196" s="54">
        <v>840</v>
      </c>
      <c r="G196" s="55">
        <v>0</v>
      </c>
      <c r="H196" s="54">
        <f>ROUND(F196*AO196,2)</f>
        <v>0</v>
      </c>
      <c r="I196" s="54">
        <f>ROUND(F196*AP196,2)</f>
        <v>0</v>
      </c>
      <c r="J196" s="54">
        <f>ROUND(F196*G196,2)</f>
        <v>0</v>
      </c>
      <c r="K196" s="56" t="s">
        <v>4</v>
      </c>
      <c r="Z196" s="54">
        <f>ROUND(IF(AQ196="5",BJ196,0),2)</f>
        <v>0</v>
      </c>
      <c r="AB196" s="54">
        <f>ROUND(IF(AQ196="1",BH196,0),2)</f>
        <v>0</v>
      </c>
      <c r="AC196" s="54">
        <f>ROUND(IF(AQ196="1",BI196,0),2)</f>
        <v>0</v>
      </c>
      <c r="AD196" s="54">
        <f>ROUND(IF(AQ196="7",BH196,0),2)</f>
        <v>0</v>
      </c>
      <c r="AE196" s="54">
        <f>ROUND(IF(AQ196="7",BI196,0),2)</f>
        <v>0</v>
      </c>
      <c r="AF196" s="54">
        <f>ROUND(IF(AQ196="2",BH196,0),2)</f>
        <v>0</v>
      </c>
      <c r="AG196" s="54">
        <f>ROUND(IF(AQ196="2",BI196,0),2)</f>
        <v>0</v>
      </c>
      <c r="AH196" s="54">
        <f>ROUND(IF(AQ196="0",BJ196,0),2)</f>
        <v>0</v>
      </c>
      <c r="AI196" s="34" t="s">
        <v>127</v>
      </c>
      <c r="AJ196" s="54">
        <f>IF(AN196=0,J196,0)</f>
        <v>0</v>
      </c>
      <c r="AK196" s="54">
        <f>IF(AN196=0,J196,0)</f>
        <v>0</v>
      </c>
      <c r="AL196" s="54">
        <f>IF(AN196=21,J196,0)</f>
        <v>0</v>
      </c>
      <c r="AN196" s="54">
        <v>21</v>
      </c>
      <c r="AO196" s="54">
        <f>G196*0</f>
        <v>0</v>
      </c>
      <c r="AP196" s="54">
        <f>G196*(1-0)</f>
        <v>0</v>
      </c>
      <c r="AQ196" s="57" t="s">
        <v>129</v>
      </c>
      <c r="AV196" s="54">
        <f>ROUND(AW196+AX196,2)</f>
        <v>0</v>
      </c>
      <c r="AW196" s="54">
        <f>ROUND(F196*AO196,2)</f>
        <v>0</v>
      </c>
      <c r="AX196" s="54">
        <f>ROUND(F196*AP196,2)</f>
        <v>0</v>
      </c>
      <c r="AY196" s="57" t="s">
        <v>530</v>
      </c>
      <c r="AZ196" s="57" t="s">
        <v>531</v>
      </c>
      <c r="BA196" s="34" t="s">
        <v>132</v>
      </c>
      <c r="BC196" s="54">
        <f>AW196+AX196</f>
        <v>0</v>
      </c>
      <c r="BD196" s="54">
        <f>G196/(100-BE196)*100</f>
        <v>0</v>
      </c>
      <c r="BE196" s="54">
        <v>0</v>
      </c>
      <c r="BF196" s="54">
        <f>196</f>
        <v>196</v>
      </c>
      <c r="BH196" s="54">
        <f>F196*AO196</f>
        <v>0</v>
      </c>
      <c r="BI196" s="54">
        <f>F196*AP196</f>
        <v>0</v>
      </c>
      <c r="BJ196" s="54">
        <f>F196*G196</f>
        <v>0</v>
      </c>
      <c r="BK196" s="57" t="s">
        <v>115</v>
      </c>
      <c r="BL196" s="54"/>
      <c r="BW196" s="54">
        <v>21</v>
      </c>
      <c r="BX196" s="3" t="s">
        <v>529</v>
      </c>
    </row>
    <row r="197" spans="1:76" ht="40.5" customHeight="1" x14ac:dyDescent="0.25">
      <c r="A197" s="58"/>
      <c r="B197" s="59" t="s">
        <v>53</v>
      </c>
      <c r="C197" s="163" t="s">
        <v>532</v>
      </c>
      <c r="D197" s="164"/>
      <c r="E197" s="164"/>
      <c r="F197" s="164"/>
      <c r="G197" s="165"/>
      <c r="H197" s="164"/>
      <c r="I197" s="164"/>
      <c r="J197" s="164"/>
      <c r="K197" s="166"/>
    </row>
    <row r="198" spans="1:76" x14ac:dyDescent="0.25">
      <c r="A198" s="49" t="s">
        <v>4</v>
      </c>
      <c r="B198" s="50" t="s">
        <v>258</v>
      </c>
      <c r="C198" s="161" t="s">
        <v>259</v>
      </c>
      <c r="D198" s="162"/>
      <c r="E198" s="51" t="s">
        <v>69</v>
      </c>
      <c r="F198" s="51" t="s">
        <v>69</v>
      </c>
      <c r="G198" s="52" t="s">
        <v>69</v>
      </c>
      <c r="H198" s="28">
        <f>SUM(H199:H199)</f>
        <v>0</v>
      </c>
      <c r="I198" s="28">
        <f>SUM(I199:I199)</f>
        <v>0</v>
      </c>
      <c r="J198" s="28">
        <f>SUM(J199:J199)</f>
        <v>0</v>
      </c>
      <c r="K198" s="53" t="s">
        <v>4</v>
      </c>
      <c r="AI198" s="34" t="s">
        <v>127</v>
      </c>
      <c r="AS198" s="28">
        <f>SUM(AJ199:AJ199)</f>
        <v>0</v>
      </c>
      <c r="AT198" s="28">
        <f>SUM(AK199:AK199)</f>
        <v>0</v>
      </c>
      <c r="AU198" s="28">
        <f>SUM(AL199:AL199)</f>
        <v>0</v>
      </c>
    </row>
    <row r="199" spans="1:76" x14ac:dyDescent="0.25">
      <c r="A199" s="1" t="s">
        <v>533</v>
      </c>
      <c r="B199" s="2" t="s">
        <v>534</v>
      </c>
      <c r="C199" s="83" t="s">
        <v>535</v>
      </c>
      <c r="D199" s="78"/>
      <c r="E199" s="2" t="s">
        <v>136</v>
      </c>
      <c r="F199" s="54">
        <v>164.17</v>
      </c>
      <c r="G199" s="55">
        <v>0</v>
      </c>
      <c r="H199" s="54">
        <f>ROUND(F199*AO199,2)</f>
        <v>0</v>
      </c>
      <c r="I199" s="54">
        <f>ROUND(F199*AP199,2)</f>
        <v>0</v>
      </c>
      <c r="J199" s="54">
        <f>ROUND(F199*G199,2)</f>
        <v>0</v>
      </c>
      <c r="K199" s="56" t="s">
        <v>120</v>
      </c>
      <c r="Z199" s="54">
        <f>ROUND(IF(AQ199="5",BJ199,0),2)</f>
        <v>0</v>
      </c>
      <c r="AB199" s="54">
        <f>ROUND(IF(AQ199="1",BH199,0),2)</f>
        <v>0</v>
      </c>
      <c r="AC199" s="54">
        <f>ROUND(IF(AQ199="1",BI199,0),2)</f>
        <v>0</v>
      </c>
      <c r="AD199" s="54">
        <f>ROUND(IF(AQ199="7",BH199,0),2)</f>
        <v>0</v>
      </c>
      <c r="AE199" s="54">
        <f>ROUND(IF(AQ199="7",BI199,0),2)</f>
        <v>0</v>
      </c>
      <c r="AF199" s="54">
        <f>ROUND(IF(AQ199="2",BH199,0),2)</f>
        <v>0</v>
      </c>
      <c r="AG199" s="54">
        <f>ROUND(IF(AQ199="2",BI199,0),2)</f>
        <v>0</v>
      </c>
      <c r="AH199" s="54">
        <f>ROUND(IF(AQ199="0",BJ199,0),2)</f>
        <v>0</v>
      </c>
      <c r="AI199" s="34" t="s">
        <v>127</v>
      </c>
      <c r="AJ199" s="54">
        <f>IF(AN199=0,J199,0)</f>
        <v>0</v>
      </c>
      <c r="AK199" s="54">
        <f>IF(AN199=0,J199,0)</f>
        <v>0</v>
      </c>
      <c r="AL199" s="54">
        <f>IF(AN199=21,J199,0)</f>
        <v>0</v>
      </c>
      <c r="AN199" s="54">
        <v>21</v>
      </c>
      <c r="AO199" s="54">
        <f>G199*0</f>
        <v>0</v>
      </c>
      <c r="AP199" s="54">
        <f>G199*(1-0)</f>
        <v>0</v>
      </c>
      <c r="AQ199" s="57" t="s">
        <v>129</v>
      </c>
      <c r="AV199" s="54">
        <f>ROUND(AW199+AX199,2)</f>
        <v>0</v>
      </c>
      <c r="AW199" s="54">
        <f>ROUND(F199*AO199,2)</f>
        <v>0</v>
      </c>
      <c r="AX199" s="54">
        <f>ROUND(F199*AP199,2)</f>
        <v>0</v>
      </c>
      <c r="AY199" s="57" t="s">
        <v>261</v>
      </c>
      <c r="AZ199" s="57" t="s">
        <v>531</v>
      </c>
      <c r="BA199" s="34" t="s">
        <v>132</v>
      </c>
      <c r="BC199" s="54">
        <f>AW199+AX199</f>
        <v>0</v>
      </c>
      <c r="BD199" s="54">
        <f>G199/(100-BE199)*100</f>
        <v>0</v>
      </c>
      <c r="BE199" s="54">
        <v>0</v>
      </c>
      <c r="BF199" s="54">
        <f>199</f>
        <v>199</v>
      </c>
      <c r="BH199" s="54">
        <f>F199*AO199</f>
        <v>0</v>
      </c>
      <c r="BI199" s="54">
        <f>F199*AP199</f>
        <v>0</v>
      </c>
      <c r="BJ199" s="54">
        <f>F199*G199</f>
        <v>0</v>
      </c>
      <c r="BK199" s="57" t="s">
        <v>115</v>
      </c>
      <c r="BL199" s="54"/>
      <c r="BW199" s="54">
        <v>21</v>
      </c>
      <c r="BX199" s="3" t="s">
        <v>535</v>
      </c>
    </row>
    <row r="200" spans="1:76" x14ac:dyDescent="0.25">
      <c r="A200" s="49" t="s">
        <v>4</v>
      </c>
      <c r="B200" s="50" t="s">
        <v>190</v>
      </c>
      <c r="C200" s="161" t="s">
        <v>40</v>
      </c>
      <c r="D200" s="162"/>
      <c r="E200" s="51" t="s">
        <v>69</v>
      </c>
      <c r="F200" s="51" t="s">
        <v>69</v>
      </c>
      <c r="G200" s="52" t="s">
        <v>69</v>
      </c>
      <c r="H200" s="28">
        <f>SUM(H201:H205)</f>
        <v>0</v>
      </c>
      <c r="I200" s="28">
        <f>SUM(I201:I205)</f>
        <v>0</v>
      </c>
      <c r="J200" s="28">
        <f>SUM(J201:J205)</f>
        <v>0</v>
      </c>
      <c r="K200" s="53" t="s">
        <v>4</v>
      </c>
      <c r="AI200" s="34" t="s">
        <v>127</v>
      </c>
      <c r="AS200" s="28">
        <f>SUM(AJ201:AJ205)</f>
        <v>0</v>
      </c>
      <c r="AT200" s="28">
        <f>SUM(AK201:AK205)</f>
        <v>0</v>
      </c>
      <c r="AU200" s="28">
        <f>SUM(AL201:AL205)</f>
        <v>0</v>
      </c>
    </row>
    <row r="201" spans="1:76" x14ac:dyDescent="0.25">
      <c r="A201" s="1" t="s">
        <v>536</v>
      </c>
      <c r="B201" s="2" t="s">
        <v>537</v>
      </c>
      <c r="C201" s="83" t="s">
        <v>538</v>
      </c>
      <c r="D201" s="78"/>
      <c r="E201" s="2" t="s">
        <v>136</v>
      </c>
      <c r="F201" s="54">
        <v>64</v>
      </c>
      <c r="G201" s="55">
        <v>0</v>
      </c>
      <c r="H201" s="54">
        <f>ROUND(F201*AO201,2)</f>
        <v>0</v>
      </c>
      <c r="I201" s="54">
        <f>ROUND(F201*AP201,2)</f>
        <v>0</v>
      </c>
      <c r="J201" s="54">
        <f>ROUND(F201*G201,2)</f>
        <v>0</v>
      </c>
      <c r="K201" s="56" t="s">
        <v>120</v>
      </c>
      <c r="Z201" s="54">
        <f>ROUND(IF(AQ201="5",BJ201,0),2)</f>
        <v>0</v>
      </c>
      <c r="AB201" s="54">
        <f>ROUND(IF(AQ201="1",BH201,0),2)</f>
        <v>0</v>
      </c>
      <c r="AC201" s="54">
        <f>ROUND(IF(AQ201="1",BI201,0),2)</f>
        <v>0</v>
      </c>
      <c r="AD201" s="54">
        <f>ROUND(IF(AQ201="7",BH201,0),2)</f>
        <v>0</v>
      </c>
      <c r="AE201" s="54">
        <f>ROUND(IF(AQ201="7",BI201,0),2)</f>
        <v>0</v>
      </c>
      <c r="AF201" s="54">
        <f>ROUND(IF(AQ201="2",BH201,0),2)</f>
        <v>0</v>
      </c>
      <c r="AG201" s="54">
        <f>ROUND(IF(AQ201="2",BI201,0),2)</f>
        <v>0</v>
      </c>
      <c r="AH201" s="54">
        <f>ROUND(IF(AQ201="0",BJ201,0),2)</f>
        <v>0</v>
      </c>
      <c r="AI201" s="34" t="s">
        <v>127</v>
      </c>
      <c r="AJ201" s="54">
        <f>IF(AN201=0,J201,0)</f>
        <v>0</v>
      </c>
      <c r="AK201" s="54">
        <f>IF(AN201=0,J201,0)</f>
        <v>0</v>
      </c>
      <c r="AL201" s="54">
        <f>IF(AN201=21,J201,0)</f>
        <v>0</v>
      </c>
      <c r="AN201" s="54">
        <v>21</v>
      </c>
      <c r="AO201" s="54">
        <f>G201*1</f>
        <v>0</v>
      </c>
      <c r="AP201" s="54">
        <f>G201*(1-1)</f>
        <v>0</v>
      </c>
      <c r="AQ201" s="57" t="s">
        <v>194</v>
      </c>
      <c r="AV201" s="54">
        <f>ROUND(AW201+AX201,2)</f>
        <v>0</v>
      </c>
      <c r="AW201" s="54">
        <f>ROUND(F201*AO201,2)</f>
        <v>0</v>
      </c>
      <c r="AX201" s="54">
        <f>ROUND(F201*AP201,2)</f>
        <v>0</v>
      </c>
      <c r="AY201" s="57" t="s">
        <v>195</v>
      </c>
      <c r="AZ201" s="57" t="s">
        <v>539</v>
      </c>
      <c r="BA201" s="34" t="s">
        <v>132</v>
      </c>
      <c r="BC201" s="54">
        <f>AW201+AX201</f>
        <v>0</v>
      </c>
      <c r="BD201" s="54">
        <f>G201/(100-BE201)*100</f>
        <v>0</v>
      </c>
      <c r="BE201" s="54">
        <v>0</v>
      </c>
      <c r="BF201" s="54">
        <f>201</f>
        <v>201</v>
      </c>
      <c r="BH201" s="54">
        <f>F201*AO201</f>
        <v>0</v>
      </c>
      <c r="BI201" s="54">
        <f>F201*AP201</f>
        <v>0</v>
      </c>
      <c r="BJ201" s="54">
        <f>F201*G201</f>
        <v>0</v>
      </c>
      <c r="BK201" s="57" t="s">
        <v>190</v>
      </c>
      <c r="BL201" s="54"/>
      <c r="BW201" s="54">
        <v>21</v>
      </c>
      <c r="BX201" s="3" t="s">
        <v>538</v>
      </c>
    </row>
    <row r="202" spans="1:76" x14ac:dyDescent="0.25">
      <c r="A202" s="1" t="s">
        <v>540</v>
      </c>
      <c r="B202" s="2" t="s">
        <v>471</v>
      </c>
      <c r="C202" s="83" t="s">
        <v>541</v>
      </c>
      <c r="D202" s="78"/>
      <c r="E202" s="2" t="s">
        <v>136</v>
      </c>
      <c r="F202" s="54">
        <v>32</v>
      </c>
      <c r="G202" s="55">
        <v>0</v>
      </c>
      <c r="H202" s="54">
        <f>ROUND(F202*AO202,2)</f>
        <v>0</v>
      </c>
      <c r="I202" s="54">
        <f>ROUND(F202*AP202,2)</f>
        <v>0</v>
      </c>
      <c r="J202" s="54">
        <f>ROUND(F202*G202,2)</f>
        <v>0</v>
      </c>
      <c r="K202" s="56" t="s">
        <v>120</v>
      </c>
      <c r="Z202" s="54">
        <f>ROUND(IF(AQ202="5",BJ202,0),2)</f>
        <v>0</v>
      </c>
      <c r="AB202" s="54">
        <f>ROUND(IF(AQ202="1",BH202,0),2)</f>
        <v>0</v>
      </c>
      <c r="AC202" s="54">
        <f>ROUND(IF(AQ202="1",BI202,0),2)</f>
        <v>0</v>
      </c>
      <c r="AD202" s="54">
        <f>ROUND(IF(AQ202="7",BH202,0),2)</f>
        <v>0</v>
      </c>
      <c r="AE202" s="54">
        <f>ROUND(IF(AQ202="7",BI202,0),2)</f>
        <v>0</v>
      </c>
      <c r="AF202" s="54">
        <f>ROUND(IF(AQ202="2",BH202,0),2)</f>
        <v>0</v>
      </c>
      <c r="AG202" s="54">
        <f>ROUND(IF(AQ202="2",BI202,0),2)</f>
        <v>0</v>
      </c>
      <c r="AH202" s="54">
        <f>ROUND(IF(AQ202="0",BJ202,0),2)</f>
        <v>0</v>
      </c>
      <c r="AI202" s="34" t="s">
        <v>127</v>
      </c>
      <c r="AJ202" s="54">
        <f>IF(AN202=0,J202,0)</f>
        <v>0</v>
      </c>
      <c r="AK202" s="54">
        <f>IF(AN202=0,J202,0)</f>
        <v>0</v>
      </c>
      <c r="AL202" s="54">
        <f>IF(AN202=21,J202,0)</f>
        <v>0</v>
      </c>
      <c r="AN202" s="54">
        <v>21</v>
      </c>
      <c r="AO202" s="54">
        <f>G202*1</f>
        <v>0</v>
      </c>
      <c r="AP202" s="54">
        <f>G202*(1-1)</f>
        <v>0</v>
      </c>
      <c r="AQ202" s="57" t="s">
        <v>194</v>
      </c>
      <c r="AV202" s="54">
        <f>ROUND(AW202+AX202,2)</f>
        <v>0</v>
      </c>
      <c r="AW202" s="54">
        <f>ROUND(F202*AO202,2)</f>
        <v>0</v>
      </c>
      <c r="AX202" s="54">
        <f>ROUND(F202*AP202,2)</f>
        <v>0</v>
      </c>
      <c r="AY202" s="57" t="s">
        <v>195</v>
      </c>
      <c r="AZ202" s="57" t="s">
        <v>539</v>
      </c>
      <c r="BA202" s="34" t="s">
        <v>132</v>
      </c>
      <c r="BC202" s="54">
        <f>AW202+AX202</f>
        <v>0</v>
      </c>
      <c r="BD202" s="54">
        <f>G202/(100-BE202)*100</f>
        <v>0</v>
      </c>
      <c r="BE202" s="54">
        <v>0</v>
      </c>
      <c r="BF202" s="54">
        <f>202</f>
        <v>202</v>
      </c>
      <c r="BH202" s="54">
        <f>F202*AO202</f>
        <v>0</v>
      </c>
      <c r="BI202" s="54">
        <f>F202*AP202</f>
        <v>0</v>
      </c>
      <c r="BJ202" s="54">
        <f>F202*G202</f>
        <v>0</v>
      </c>
      <c r="BK202" s="57" t="s">
        <v>190</v>
      </c>
      <c r="BL202" s="54"/>
      <c r="BW202" s="54">
        <v>21</v>
      </c>
      <c r="BX202" s="3" t="s">
        <v>541</v>
      </c>
    </row>
    <row r="203" spans="1:76" x14ac:dyDescent="0.25">
      <c r="A203" s="1" t="s">
        <v>542</v>
      </c>
      <c r="B203" s="2" t="s">
        <v>543</v>
      </c>
      <c r="C203" s="83" t="s">
        <v>544</v>
      </c>
      <c r="D203" s="78"/>
      <c r="E203" s="2" t="s">
        <v>119</v>
      </c>
      <c r="F203" s="54">
        <v>99.8</v>
      </c>
      <c r="G203" s="55">
        <v>0</v>
      </c>
      <c r="H203" s="54">
        <f>ROUND(F203*AO203,2)</f>
        <v>0</v>
      </c>
      <c r="I203" s="54">
        <f>ROUND(F203*AP203,2)</f>
        <v>0</v>
      </c>
      <c r="J203" s="54">
        <f>ROUND(F203*G203,2)</f>
        <v>0</v>
      </c>
      <c r="K203" s="56" t="s">
        <v>4</v>
      </c>
      <c r="Z203" s="54">
        <f>ROUND(IF(AQ203="5",BJ203,0),2)</f>
        <v>0</v>
      </c>
      <c r="AB203" s="54">
        <f>ROUND(IF(AQ203="1",BH203,0),2)</f>
        <v>0</v>
      </c>
      <c r="AC203" s="54">
        <f>ROUND(IF(AQ203="1",BI203,0),2)</f>
        <v>0</v>
      </c>
      <c r="AD203" s="54">
        <f>ROUND(IF(AQ203="7",BH203,0),2)</f>
        <v>0</v>
      </c>
      <c r="AE203" s="54">
        <f>ROUND(IF(AQ203="7",BI203,0),2)</f>
        <v>0</v>
      </c>
      <c r="AF203" s="54">
        <f>ROUND(IF(AQ203="2",BH203,0),2)</f>
        <v>0</v>
      </c>
      <c r="AG203" s="54">
        <f>ROUND(IF(AQ203="2",BI203,0),2)</f>
        <v>0</v>
      </c>
      <c r="AH203" s="54">
        <f>ROUND(IF(AQ203="0",BJ203,0),2)</f>
        <v>0</v>
      </c>
      <c r="AI203" s="34" t="s">
        <v>127</v>
      </c>
      <c r="AJ203" s="54">
        <f>IF(AN203=0,J203,0)</f>
        <v>0</v>
      </c>
      <c r="AK203" s="54">
        <f>IF(AN203=0,J203,0)</f>
        <v>0</v>
      </c>
      <c r="AL203" s="54">
        <f>IF(AN203=21,J203,0)</f>
        <v>0</v>
      </c>
      <c r="AN203" s="54">
        <v>21</v>
      </c>
      <c r="AO203" s="54">
        <f>G203*1</f>
        <v>0</v>
      </c>
      <c r="AP203" s="54">
        <f>G203*(1-1)</f>
        <v>0</v>
      </c>
      <c r="AQ203" s="57" t="s">
        <v>194</v>
      </c>
      <c r="AV203" s="54">
        <f>ROUND(AW203+AX203,2)</f>
        <v>0</v>
      </c>
      <c r="AW203" s="54">
        <f>ROUND(F203*AO203,2)</f>
        <v>0</v>
      </c>
      <c r="AX203" s="54">
        <f>ROUND(F203*AP203,2)</f>
        <v>0</v>
      </c>
      <c r="AY203" s="57" t="s">
        <v>195</v>
      </c>
      <c r="AZ203" s="57" t="s">
        <v>539</v>
      </c>
      <c r="BA203" s="34" t="s">
        <v>132</v>
      </c>
      <c r="BC203" s="54">
        <f>AW203+AX203</f>
        <v>0</v>
      </c>
      <c r="BD203" s="54">
        <f>G203/(100-BE203)*100</f>
        <v>0</v>
      </c>
      <c r="BE203" s="54">
        <v>0</v>
      </c>
      <c r="BF203" s="54">
        <f>203</f>
        <v>203</v>
      </c>
      <c r="BH203" s="54">
        <f>F203*AO203</f>
        <v>0</v>
      </c>
      <c r="BI203" s="54">
        <f>F203*AP203</f>
        <v>0</v>
      </c>
      <c r="BJ203" s="54">
        <f>F203*G203</f>
        <v>0</v>
      </c>
      <c r="BK203" s="57" t="s">
        <v>190</v>
      </c>
      <c r="BL203" s="54"/>
      <c r="BW203" s="54">
        <v>21</v>
      </c>
      <c r="BX203" s="3" t="s">
        <v>544</v>
      </c>
    </row>
    <row r="204" spans="1:76" ht="81" customHeight="1" x14ac:dyDescent="0.25">
      <c r="A204" s="58"/>
      <c r="B204" s="59" t="s">
        <v>53</v>
      </c>
      <c r="C204" s="163" t="s">
        <v>545</v>
      </c>
      <c r="D204" s="164"/>
      <c r="E204" s="164"/>
      <c r="F204" s="164"/>
      <c r="G204" s="165"/>
      <c r="H204" s="164"/>
      <c r="I204" s="164"/>
      <c r="J204" s="164"/>
      <c r="K204" s="166"/>
    </row>
    <row r="205" spans="1:76" x14ac:dyDescent="0.25">
      <c r="A205" s="1" t="s">
        <v>546</v>
      </c>
      <c r="B205" s="2" t="s">
        <v>543</v>
      </c>
      <c r="C205" s="83" t="s">
        <v>547</v>
      </c>
      <c r="D205" s="78"/>
      <c r="E205" s="2" t="s">
        <v>119</v>
      </c>
      <c r="F205" s="54">
        <v>126.56</v>
      </c>
      <c r="G205" s="55">
        <v>0</v>
      </c>
      <c r="H205" s="54">
        <f>ROUND(F205*AO205,2)</f>
        <v>0</v>
      </c>
      <c r="I205" s="54">
        <f>ROUND(F205*AP205,2)</f>
        <v>0</v>
      </c>
      <c r="J205" s="54">
        <f>ROUND(F205*G205,2)</f>
        <v>0</v>
      </c>
      <c r="K205" s="56" t="s">
        <v>4</v>
      </c>
      <c r="Z205" s="54">
        <f>ROUND(IF(AQ205="5",BJ205,0),2)</f>
        <v>0</v>
      </c>
      <c r="AB205" s="54">
        <f>ROUND(IF(AQ205="1",BH205,0),2)</f>
        <v>0</v>
      </c>
      <c r="AC205" s="54">
        <f>ROUND(IF(AQ205="1",BI205,0),2)</f>
        <v>0</v>
      </c>
      <c r="AD205" s="54">
        <f>ROUND(IF(AQ205="7",BH205,0),2)</f>
        <v>0</v>
      </c>
      <c r="AE205" s="54">
        <f>ROUND(IF(AQ205="7",BI205,0),2)</f>
        <v>0</v>
      </c>
      <c r="AF205" s="54">
        <f>ROUND(IF(AQ205="2",BH205,0),2)</f>
        <v>0</v>
      </c>
      <c r="AG205" s="54">
        <f>ROUND(IF(AQ205="2",BI205,0),2)</f>
        <v>0</v>
      </c>
      <c r="AH205" s="54">
        <f>ROUND(IF(AQ205="0",BJ205,0),2)</f>
        <v>0</v>
      </c>
      <c r="AI205" s="34" t="s">
        <v>127</v>
      </c>
      <c r="AJ205" s="54">
        <f>IF(AN205=0,J205,0)</f>
        <v>0</v>
      </c>
      <c r="AK205" s="54">
        <f>IF(AN205=0,J205,0)</f>
        <v>0</v>
      </c>
      <c r="AL205" s="54">
        <f>IF(AN205=21,J205,0)</f>
        <v>0</v>
      </c>
      <c r="AN205" s="54">
        <v>21</v>
      </c>
      <c r="AO205" s="54">
        <f>G205*1</f>
        <v>0</v>
      </c>
      <c r="AP205" s="54">
        <f>G205*(1-1)</f>
        <v>0</v>
      </c>
      <c r="AQ205" s="57" t="s">
        <v>194</v>
      </c>
      <c r="AV205" s="54">
        <f>ROUND(AW205+AX205,2)</f>
        <v>0</v>
      </c>
      <c r="AW205" s="54">
        <f>ROUND(F205*AO205,2)</f>
        <v>0</v>
      </c>
      <c r="AX205" s="54">
        <f>ROUND(F205*AP205,2)</f>
        <v>0</v>
      </c>
      <c r="AY205" s="57" t="s">
        <v>195</v>
      </c>
      <c r="AZ205" s="57" t="s">
        <v>539</v>
      </c>
      <c r="BA205" s="34" t="s">
        <v>132</v>
      </c>
      <c r="BC205" s="54">
        <f>AW205+AX205</f>
        <v>0</v>
      </c>
      <c r="BD205" s="54">
        <f>G205/(100-BE205)*100</f>
        <v>0</v>
      </c>
      <c r="BE205" s="54">
        <v>0</v>
      </c>
      <c r="BF205" s="54">
        <f>205</f>
        <v>205</v>
      </c>
      <c r="BH205" s="54">
        <f>F205*AO205</f>
        <v>0</v>
      </c>
      <c r="BI205" s="54">
        <f>F205*AP205</f>
        <v>0</v>
      </c>
      <c r="BJ205" s="54">
        <f>F205*G205</f>
        <v>0</v>
      </c>
      <c r="BK205" s="57" t="s">
        <v>190</v>
      </c>
      <c r="BL205" s="54"/>
      <c r="BW205" s="54">
        <v>21</v>
      </c>
      <c r="BX205" s="3" t="s">
        <v>547</v>
      </c>
    </row>
    <row r="206" spans="1:76" ht="81" customHeight="1" x14ac:dyDescent="0.25">
      <c r="A206" s="65"/>
      <c r="B206" s="66" t="s">
        <v>53</v>
      </c>
      <c r="C206" s="169" t="s">
        <v>545</v>
      </c>
      <c r="D206" s="170"/>
      <c r="E206" s="170"/>
      <c r="F206" s="170"/>
      <c r="G206" s="171"/>
      <c r="H206" s="170"/>
      <c r="I206" s="170"/>
      <c r="J206" s="170"/>
      <c r="K206" s="172"/>
    </row>
    <row r="207" spans="1:76" x14ac:dyDescent="0.25">
      <c r="H207" s="173" t="s">
        <v>548</v>
      </c>
      <c r="I207" s="173"/>
      <c r="J207" s="67">
        <f>ROUND(J13+J18+J22+J26+J29+J33+J40+J43+J51+J53+J62+J64+J75+J77+J87+J89+J100+J110+J112+J121+J131+J133+J139+J152+J157+J160+J162+J169+J171+J179+J185+J188+J193+J195+J198+J200,2)</f>
        <v>0</v>
      </c>
    </row>
    <row r="208" spans="1:76" x14ac:dyDescent="0.25">
      <c r="A208" s="68" t="s">
        <v>53</v>
      </c>
    </row>
    <row r="209" spans="1:11" ht="12.75" customHeight="1" x14ac:dyDescent="0.25">
      <c r="A209" s="83" t="s">
        <v>4</v>
      </c>
      <c r="B209" s="78"/>
      <c r="C209" s="78"/>
      <c r="D209" s="78"/>
      <c r="E209" s="78"/>
      <c r="F209" s="78"/>
      <c r="G209" s="78"/>
      <c r="H209" s="78"/>
      <c r="I209" s="78"/>
      <c r="J209" s="78"/>
      <c r="K209" s="78"/>
    </row>
  </sheetData>
  <sheetProtection password="CC59" sheet="1"/>
  <mergeCells count="225">
    <mergeCell ref="C205:D205"/>
    <mergeCell ref="C206:K206"/>
    <mergeCell ref="H207:I207"/>
    <mergeCell ref="A209:K209"/>
    <mergeCell ref="C200:D200"/>
    <mergeCell ref="C201:D201"/>
    <mergeCell ref="C202:D202"/>
    <mergeCell ref="C203:D203"/>
    <mergeCell ref="C204:K204"/>
    <mergeCell ref="C195:D195"/>
    <mergeCell ref="C196:D196"/>
    <mergeCell ref="C197:K197"/>
    <mergeCell ref="C198:D198"/>
    <mergeCell ref="C199:D199"/>
    <mergeCell ref="C190:K190"/>
    <mergeCell ref="C191:D191"/>
    <mergeCell ref="C192:K192"/>
    <mergeCell ref="C193:D193"/>
    <mergeCell ref="C194:D194"/>
    <mergeCell ref="C185:D185"/>
    <mergeCell ref="C186:D186"/>
    <mergeCell ref="C187:K187"/>
    <mergeCell ref="C188:D188"/>
    <mergeCell ref="C189:D189"/>
    <mergeCell ref="C180:D180"/>
    <mergeCell ref="C181:D181"/>
    <mergeCell ref="C182:D182"/>
    <mergeCell ref="C183:D183"/>
    <mergeCell ref="C184:D184"/>
    <mergeCell ref="C175:K175"/>
    <mergeCell ref="C176:D176"/>
    <mergeCell ref="C177:K177"/>
    <mergeCell ref="C178:D178"/>
    <mergeCell ref="C179:D179"/>
    <mergeCell ref="C170:D170"/>
    <mergeCell ref="C171:D171"/>
    <mergeCell ref="C172:D172"/>
    <mergeCell ref="C173:K173"/>
    <mergeCell ref="C174:D174"/>
    <mergeCell ref="C165:D165"/>
    <mergeCell ref="C166:D166"/>
    <mergeCell ref="C167:K167"/>
    <mergeCell ref="C168:D168"/>
    <mergeCell ref="C169:D169"/>
    <mergeCell ref="C160:D160"/>
    <mergeCell ref="C161:D161"/>
    <mergeCell ref="C162:D162"/>
    <mergeCell ref="C163:D163"/>
    <mergeCell ref="C164:D164"/>
    <mergeCell ref="C155:D155"/>
    <mergeCell ref="C156:D156"/>
    <mergeCell ref="C157:D157"/>
    <mergeCell ref="C158:D158"/>
    <mergeCell ref="C159:K159"/>
    <mergeCell ref="C150:D150"/>
    <mergeCell ref="C151:K151"/>
    <mergeCell ref="C152:D152"/>
    <mergeCell ref="C153:D153"/>
    <mergeCell ref="C154:D154"/>
    <mergeCell ref="C145:D145"/>
    <mergeCell ref="C146:K146"/>
    <mergeCell ref="C147:D147"/>
    <mergeCell ref="C148:K148"/>
    <mergeCell ref="C149:D149"/>
    <mergeCell ref="C140:D140"/>
    <mergeCell ref="C141:D141"/>
    <mergeCell ref="C142:D142"/>
    <mergeCell ref="C143:D143"/>
    <mergeCell ref="C144:K144"/>
    <mergeCell ref="C135:D135"/>
    <mergeCell ref="C136:D136"/>
    <mergeCell ref="C137:D137"/>
    <mergeCell ref="C138:D138"/>
    <mergeCell ref="C139:D139"/>
    <mergeCell ref="C130:D130"/>
    <mergeCell ref="C131:D131"/>
    <mergeCell ref="C132:D132"/>
    <mergeCell ref="C133:D133"/>
    <mergeCell ref="C134:D134"/>
    <mergeCell ref="C125:D125"/>
    <mergeCell ref="C126:D126"/>
    <mergeCell ref="C127:D127"/>
    <mergeCell ref="C128:D128"/>
    <mergeCell ref="C129:D129"/>
    <mergeCell ref="C120:D120"/>
    <mergeCell ref="C121:D121"/>
    <mergeCell ref="C122:D122"/>
    <mergeCell ref="C123:D123"/>
    <mergeCell ref="C124:D124"/>
    <mergeCell ref="C115:D115"/>
    <mergeCell ref="C116:D116"/>
    <mergeCell ref="C117:D117"/>
    <mergeCell ref="C118:D118"/>
    <mergeCell ref="C119:D119"/>
    <mergeCell ref="C110:D110"/>
    <mergeCell ref="C111:D111"/>
    <mergeCell ref="C112:D112"/>
    <mergeCell ref="C113:D113"/>
    <mergeCell ref="C114:D114"/>
    <mergeCell ref="C105:D105"/>
    <mergeCell ref="C106:D106"/>
    <mergeCell ref="C107:D107"/>
    <mergeCell ref="C108:D108"/>
    <mergeCell ref="C109:D109"/>
    <mergeCell ref="C100:D100"/>
    <mergeCell ref="C101:D101"/>
    <mergeCell ref="C102:D102"/>
    <mergeCell ref="C103:D103"/>
    <mergeCell ref="C104:D104"/>
    <mergeCell ref="C95:D95"/>
    <mergeCell ref="C96:D96"/>
    <mergeCell ref="C97:D97"/>
    <mergeCell ref="C98:D98"/>
    <mergeCell ref="C99:D99"/>
    <mergeCell ref="C90:D90"/>
    <mergeCell ref="C91:D91"/>
    <mergeCell ref="C92:D92"/>
    <mergeCell ref="C93:D93"/>
    <mergeCell ref="C94:D94"/>
    <mergeCell ref="C85:D85"/>
    <mergeCell ref="C86:D86"/>
    <mergeCell ref="C87:D87"/>
    <mergeCell ref="C88:D88"/>
    <mergeCell ref="C89:D89"/>
    <mergeCell ref="C80:D80"/>
    <mergeCell ref="C81:D81"/>
    <mergeCell ref="C82:D82"/>
    <mergeCell ref="C83:D83"/>
    <mergeCell ref="C84:D84"/>
    <mergeCell ref="C75:D75"/>
    <mergeCell ref="C76:D76"/>
    <mergeCell ref="C77:D77"/>
    <mergeCell ref="C78:D78"/>
    <mergeCell ref="C79:D79"/>
    <mergeCell ref="C70:D70"/>
    <mergeCell ref="C71:D71"/>
    <mergeCell ref="C72:D72"/>
    <mergeCell ref="C73:K73"/>
    <mergeCell ref="C74:D74"/>
    <mergeCell ref="C65:D65"/>
    <mergeCell ref="C66:D66"/>
    <mergeCell ref="C67:D67"/>
    <mergeCell ref="C68:D68"/>
    <mergeCell ref="C69:D69"/>
    <mergeCell ref="C60:D60"/>
    <mergeCell ref="C61:D61"/>
    <mergeCell ref="C62:D62"/>
    <mergeCell ref="C63:D63"/>
    <mergeCell ref="C64:D64"/>
    <mergeCell ref="C55:D55"/>
    <mergeCell ref="C56:D56"/>
    <mergeCell ref="C57:D57"/>
    <mergeCell ref="C58:D58"/>
    <mergeCell ref="C59:D59"/>
    <mergeCell ref="C50:D50"/>
    <mergeCell ref="C51:D51"/>
    <mergeCell ref="C52:D52"/>
    <mergeCell ref="C53:D53"/>
    <mergeCell ref="C54:D54"/>
    <mergeCell ref="C45:D45"/>
    <mergeCell ref="C46:D46"/>
    <mergeCell ref="C47:D47"/>
    <mergeCell ref="C48:D48"/>
    <mergeCell ref="C49:D49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0:D30"/>
    <mergeCell ref="C31:K31"/>
    <mergeCell ref="C32:D32"/>
    <mergeCell ref="C33:D33"/>
    <mergeCell ref="C34:D34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1:D11"/>
    <mergeCell ref="H10:J10"/>
    <mergeCell ref="C12:D12"/>
    <mergeCell ref="C13:D13"/>
    <mergeCell ref="C14:D14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149"/>
  <sheetViews>
    <sheetView tabSelected="1" workbookViewId="0">
      <pane ySplit="11" topLeftCell="A12" activePane="bottomLeft" state="frozen"/>
      <selection pane="bottomLeft" activeCell="L17" sqref="L17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6.4257812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74" t="s">
        <v>549</v>
      </c>
      <c r="B1" s="74"/>
      <c r="C1" s="74"/>
      <c r="D1" s="74"/>
      <c r="E1" s="74"/>
      <c r="F1" s="74"/>
      <c r="G1" s="74"/>
      <c r="H1" s="74"/>
      <c r="I1" s="74"/>
      <c r="J1" s="74"/>
      <c r="K1" s="74"/>
      <c r="AS1" s="28">
        <f>SUM(AJ1:AJ2)</f>
        <v>0</v>
      </c>
      <c r="AT1" s="28">
        <f>SUM(AK1:AK2)</f>
        <v>0</v>
      </c>
      <c r="AU1" s="28">
        <f>SUM(AL1:AL2)</f>
        <v>0</v>
      </c>
    </row>
    <row r="2" spans="1:76" x14ac:dyDescent="0.25">
      <c r="A2" s="75" t="s">
        <v>1</v>
      </c>
      <c r="B2" s="76"/>
      <c r="C2" s="84" t="str">
        <f>'Stavební rozpočet'!C2</f>
        <v>Úprava veřejného prostranství v centru Břeclavi – Poštorné</v>
      </c>
      <c r="D2" s="85"/>
      <c r="E2" s="76" t="s">
        <v>68</v>
      </c>
      <c r="F2" s="76"/>
      <c r="G2" s="82" t="str">
        <f>'Stavební rozpočet'!G2</f>
        <v xml:space="preserve"> </v>
      </c>
      <c r="H2" s="82" t="s">
        <v>2</v>
      </c>
      <c r="I2" s="82" t="str">
        <f>'Stavební rozpočet'!I2</f>
        <v> </v>
      </c>
      <c r="J2" s="76"/>
      <c r="K2" s="87"/>
    </row>
    <row r="3" spans="1:76" x14ac:dyDescent="0.25">
      <c r="A3" s="77"/>
      <c r="B3" s="78"/>
      <c r="C3" s="86"/>
      <c r="D3" s="86"/>
      <c r="E3" s="78"/>
      <c r="F3" s="78"/>
      <c r="G3" s="78"/>
      <c r="H3" s="78"/>
      <c r="I3" s="78"/>
      <c r="J3" s="78"/>
      <c r="K3" s="88"/>
    </row>
    <row r="4" spans="1:76" x14ac:dyDescent="0.25">
      <c r="A4" s="79" t="s">
        <v>5</v>
      </c>
      <c r="B4" s="78"/>
      <c r="C4" s="83" t="str">
        <f>'Stavební rozpočet'!C4</f>
        <v>Vegetační a technické úpravy</v>
      </c>
      <c r="D4" s="78"/>
      <c r="E4" s="78" t="s">
        <v>10</v>
      </c>
      <c r="F4" s="78"/>
      <c r="G4" s="83" t="str">
        <f>'Stavební rozpočet'!G4</f>
        <v xml:space="preserve"> </v>
      </c>
      <c r="H4" s="83" t="s">
        <v>6</v>
      </c>
      <c r="I4" s="83" t="str">
        <f>'Stavební rozpočet'!I4</f>
        <v>Ing. Přemysl Krejčiřík, Ph.D.</v>
      </c>
      <c r="J4" s="78"/>
      <c r="K4" s="88"/>
    </row>
    <row r="5" spans="1:76" x14ac:dyDescent="0.25">
      <c r="A5" s="77"/>
      <c r="B5" s="78"/>
      <c r="C5" s="78"/>
      <c r="D5" s="78"/>
      <c r="E5" s="78"/>
      <c r="F5" s="78"/>
      <c r="G5" s="78"/>
      <c r="H5" s="78"/>
      <c r="I5" s="78"/>
      <c r="J5" s="78"/>
      <c r="K5" s="88"/>
    </row>
    <row r="6" spans="1:76" x14ac:dyDescent="0.25">
      <c r="A6" s="79" t="s">
        <v>8</v>
      </c>
      <c r="B6" s="78"/>
      <c r="C6" s="83" t="str">
        <f>'Stavební rozpočet'!C6</f>
        <v xml:space="preserve"> </v>
      </c>
      <c r="D6" s="78"/>
      <c r="E6" s="78" t="s">
        <v>11</v>
      </c>
      <c r="F6" s="78"/>
      <c r="G6" s="83" t="str">
        <f>'Stavební rozpočet'!G6</f>
        <v xml:space="preserve"> </v>
      </c>
      <c r="H6" s="83" t="s">
        <v>9</v>
      </c>
      <c r="I6" s="83" t="str">
        <f>'Stavební rozpočet'!I6</f>
        <v> </v>
      </c>
      <c r="J6" s="78"/>
      <c r="K6" s="88"/>
    </row>
    <row r="7" spans="1:76" x14ac:dyDescent="0.25">
      <c r="A7" s="77"/>
      <c r="B7" s="78"/>
      <c r="C7" s="78"/>
      <c r="D7" s="78"/>
      <c r="E7" s="78"/>
      <c r="F7" s="78"/>
      <c r="G7" s="78"/>
      <c r="H7" s="78"/>
      <c r="I7" s="78"/>
      <c r="J7" s="78"/>
      <c r="K7" s="88"/>
    </row>
    <row r="8" spans="1:76" x14ac:dyDescent="0.25">
      <c r="A8" s="79" t="s">
        <v>13</v>
      </c>
      <c r="B8" s="78"/>
      <c r="C8" s="83" t="str">
        <f>'Stavební rozpočet'!C8</f>
        <v xml:space="preserve"> </v>
      </c>
      <c r="D8" s="78"/>
      <c r="E8" s="78" t="s">
        <v>73</v>
      </c>
      <c r="F8" s="78"/>
      <c r="G8" s="83" t="str">
        <f>'Stavební rozpočet'!G8</f>
        <v>21.04.2025</v>
      </c>
      <c r="H8" s="83" t="s">
        <v>14</v>
      </c>
      <c r="I8" s="83" t="str">
        <f>'Stavební rozpočet'!I8</f>
        <v>Ing. Eliška Křížová</v>
      </c>
      <c r="J8" s="78"/>
      <c r="K8" s="88"/>
    </row>
    <row r="9" spans="1:76" x14ac:dyDescent="0.25">
      <c r="A9" s="144"/>
      <c r="B9" s="145"/>
      <c r="C9" s="145"/>
      <c r="D9" s="145"/>
      <c r="E9" s="145"/>
      <c r="F9" s="145"/>
      <c r="G9" s="145"/>
      <c r="H9" s="145"/>
      <c r="I9" s="145"/>
      <c r="J9" s="145"/>
      <c r="K9" s="174"/>
    </row>
    <row r="10" spans="1:76" x14ac:dyDescent="0.25">
      <c r="A10" s="29" t="s">
        <v>76</v>
      </c>
      <c r="B10" s="30" t="s">
        <v>77</v>
      </c>
      <c r="C10" s="152" t="s">
        <v>78</v>
      </c>
      <c r="D10" s="153"/>
      <c r="E10" s="30" t="s">
        <v>79</v>
      </c>
      <c r="F10" s="31" t="s">
        <v>80</v>
      </c>
      <c r="G10" s="69" t="s">
        <v>81</v>
      </c>
      <c r="H10" s="156" t="s">
        <v>82</v>
      </c>
      <c r="I10" s="157"/>
      <c r="J10" s="158"/>
      <c r="K10" s="33" t="s">
        <v>83</v>
      </c>
      <c r="BK10" s="34" t="s">
        <v>84</v>
      </c>
      <c r="BL10" s="35" t="s">
        <v>85</v>
      </c>
      <c r="BW10" s="35" t="s">
        <v>86</v>
      </c>
    </row>
    <row r="11" spans="1:76" x14ac:dyDescent="0.25">
      <c r="A11" s="36" t="s">
        <v>69</v>
      </c>
      <c r="B11" s="37" t="s">
        <v>69</v>
      </c>
      <c r="C11" s="154" t="s">
        <v>87</v>
      </c>
      <c r="D11" s="155"/>
      <c r="E11" s="37" t="s">
        <v>69</v>
      </c>
      <c r="F11" s="37" t="s">
        <v>69</v>
      </c>
      <c r="G11" s="70" t="s">
        <v>88</v>
      </c>
      <c r="H11" s="39" t="s">
        <v>89</v>
      </c>
      <c r="I11" s="40" t="s">
        <v>27</v>
      </c>
      <c r="J11" s="41" t="s">
        <v>90</v>
      </c>
      <c r="K11" s="42" t="s">
        <v>91</v>
      </c>
      <c r="Z11" s="34" t="s">
        <v>92</v>
      </c>
      <c r="AA11" s="34" t="s">
        <v>93</v>
      </c>
      <c r="AB11" s="34" t="s">
        <v>94</v>
      </c>
      <c r="AC11" s="34" t="s">
        <v>95</v>
      </c>
      <c r="AD11" s="34" t="s">
        <v>96</v>
      </c>
      <c r="AE11" s="34" t="s">
        <v>97</v>
      </c>
      <c r="AF11" s="34" t="s">
        <v>98</v>
      </c>
      <c r="AG11" s="34" t="s">
        <v>99</v>
      </c>
      <c r="AH11" s="34" t="s">
        <v>100</v>
      </c>
      <c r="BH11" s="34" t="s">
        <v>101</v>
      </c>
      <c r="BI11" s="34" t="s">
        <v>102</v>
      </c>
      <c r="BJ11" s="34" t="s">
        <v>103</v>
      </c>
    </row>
    <row r="12" spans="1:76" x14ac:dyDescent="0.25">
      <c r="A12" s="43" t="s">
        <v>4</v>
      </c>
      <c r="B12" s="44" t="s">
        <v>4</v>
      </c>
      <c r="C12" s="159" t="s">
        <v>104</v>
      </c>
      <c r="D12" s="160"/>
      <c r="E12" s="45" t="s">
        <v>69</v>
      </c>
      <c r="F12" s="45" t="s">
        <v>69</v>
      </c>
      <c r="G12" s="45" t="s">
        <v>69</v>
      </c>
      <c r="H12" s="47">
        <f>H13+H18+H22+H26+H29+H33</f>
        <v>0</v>
      </c>
      <c r="I12" s="47">
        <f>I13+I18+I22+I26+I29+I33</f>
        <v>0</v>
      </c>
      <c r="J12" s="47">
        <f>J13+J18+J22+J26+J29+J33</f>
        <v>0</v>
      </c>
      <c r="K12" s="48" t="s">
        <v>4</v>
      </c>
    </row>
    <row r="13" spans="1:76" x14ac:dyDescent="0.25">
      <c r="A13" s="49" t="s">
        <v>4</v>
      </c>
      <c r="B13" s="50" t="s">
        <v>105</v>
      </c>
      <c r="C13" s="161" t="s">
        <v>106</v>
      </c>
      <c r="D13" s="162"/>
      <c r="E13" s="51" t="s">
        <v>69</v>
      </c>
      <c r="F13" s="51" t="s">
        <v>69</v>
      </c>
      <c r="G13" s="51" t="s">
        <v>69</v>
      </c>
      <c r="H13" s="28">
        <f>SUM(H14:H17)</f>
        <v>0</v>
      </c>
      <c r="I13" s="28">
        <f>SUM(I14:I17)</f>
        <v>0</v>
      </c>
      <c r="J13" s="28">
        <f>SUM(J14:J17)</f>
        <v>0</v>
      </c>
      <c r="K13" s="53" t="s">
        <v>4</v>
      </c>
      <c r="AI13" s="34" t="s">
        <v>107</v>
      </c>
      <c r="AS13" s="28">
        <f>SUM(AJ14:AJ17)</f>
        <v>0</v>
      </c>
      <c r="AT13" s="28">
        <f>SUM(AK14:AK17)</f>
        <v>0</v>
      </c>
      <c r="AU13" s="28">
        <f>SUM(AL14:AL17)</f>
        <v>0</v>
      </c>
    </row>
    <row r="14" spans="1:76" x14ac:dyDescent="0.25">
      <c r="A14" s="1" t="s">
        <v>108</v>
      </c>
      <c r="B14" s="2" t="s">
        <v>109</v>
      </c>
      <c r="C14" s="83" t="s">
        <v>110</v>
      </c>
      <c r="D14" s="78"/>
      <c r="E14" s="2" t="s">
        <v>111</v>
      </c>
      <c r="F14" s="54">
        <f>'Stavební rozpočet'!F14</f>
        <v>2</v>
      </c>
      <c r="G14" s="54">
        <f>'Stavební rozpočet'!G14</f>
        <v>0</v>
      </c>
      <c r="H14" s="54">
        <f>ROUND(F14*AO14,2)</f>
        <v>0</v>
      </c>
      <c r="I14" s="54">
        <f>ROUND(F14*AP14,2)</f>
        <v>0</v>
      </c>
      <c r="J14" s="54">
        <f>ROUND(F14*G14,2)</f>
        <v>0</v>
      </c>
      <c r="K14" s="56" t="s">
        <v>4</v>
      </c>
      <c r="Z14" s="54">
        <f>ROUND(IF(AQ14="5",BJ14,0),2)</f>
        <v>0</v>
      </c>
      <c r="AB14" s="54">
        <f>ROUND(IF(AQ14="1",BH14,0),2)</f>
        <v>0</v>
      </c>
      <c r="AC14" s="54">
        <f>ROUND(IF(AQ14="1",BI14,0),2)</f>
        <v>0</v>
      </c>
      <c r="AD14" s="54">
        <f>ROUND(IF(AQ14="7",BH14,0),2)</f>
        <v>0</v>
      </c>
      <c r="AE14" s="54">
        <f>ROUND(IF(AQ14="7",BI14,0),2)</f>
        <v>0</v>
      </c>
      <c r="AF14" s="54">
        <f>ROUND(IF(AQ14="2",BH14,0),2)</f>
        <v>0</v>
      </c>
      <c r="AG14" s="54">
        <f>ROUND(IF(AQ14="2",BI14,0),2)</f>
        <v>0</v>
      </c>
      <c r="AH14" s="54">
        <f>ROUND(IF(AQ14="0",BJ14,0),2)</f>
        <v>0</v>
      </c>
      <c r="AI14" s="34" t="s">
        <v>107</v>
      </c>
      <c r="AJ14" s="54">
        <f>IF(AN14=0,J14,0)</f>
        <v>0</v>
      </c>
      <c r="AK14" s="54">
        <f>IF(AN14=0,J14,0)</f>
        <v>0</v>
      </c>
      <c r="AL14" s="54">
        <f>IF(AN14=21,J14,0)</f>
        <v>0</v>
      </c>
      <c r="AN14" s="54">
        <v>21</v>
      </c>
      <c r="AO14" s="54">
        <f>G14*0</f>
        <v>0</v>
      </c>
      <c r="AP14" s="54">
        <f>G14*(1-0)</f>
        <v>0</v>
      </c>
      <c r="AQ14" s="57" t="s">
        <v>108</v>
      </c>
      <c r="AV14" s="54">
        <f>ROUND(AW14+AX14,2)</f>
        <v>0</v>
      </c>
      <c r="AW14" s="54">
        <f>ROUND(F14*AO14,2)</f>
        <v>0</v>
      </c>
      <c r="AX14" s="54">
        <f>ROUND(F14*AP14,2)</f>
        <v>0</v>
      </c>
      <c r="AY14" s="57" t="s">
        <v>112</v>
      </c>
      <c r="AZ14" s="57" t="s">
        <v>113</v>
      </c>
      <c r="BA14" s="34" t="s">
        <v>114</v>
      </c>
      <c r="BC14" s="54">
        <f>AW14+AX14</f>
        <v>0</v>
      </c>
      <c r="BD14" s="54">
        <f>G14/(100-BE14)*100</f>
        <v>0</v>
      </c>
      <c r="BE14" s="54">
        <v>0</v>
      </c>
      <c r="BF14" s="54">
        <f>14</f>
        <v>14</v>
      </c>
      <c r="BH14" s="54">
        <f>F14*AO14</f>
        <v>0</v>
      </c>
      <c r="BI14" s="54">
        <f>F14*AP14</f>
        <v>0</v>
      </c>
      <c r="BJ14" s="54">
        <f>F14*G14</f>
        <v>0</v>
      </c>
      <c r="BK14" s="57" t="s">
        <v>115</v>
      </c>
      <c r="BL14" s="54"/>
      <c r="BW14" s="54">
        <v>21</v>
      </c>
      <c r="BX14" s="3" t="s">
        <v>110</v>
      </c>
    </row>
    <row r="15" spans="1:76" x14ac:dyDescent="0.25">
      <c r="A15" s="1" t="s">
        <v>116</v>
      </c>
      <c r="B15" s="2" t="s">
        <v>117</v>
      </c>
      <c r="C15" s="83" t="s">
        <v>118</v>
      </c>
      <c r="D15" s="78"/>
      <c r="E15" s="2" t="s">
        <v>119</v>
      </c>
      <c r="F15" s="54">
        <f>'Stavební rozpočet'!F15</f>
        <v>40</v>
      </c>
      <c r="G15" s="54">
        <f>'Stavební rozpočet'!G15</f>
        <v>0</v>
      </c>
      <c r="H15" s="54">
        <f>ROUND(F15*AO15,2)</f>
        <v>0</v>
      </c>
      <c r="I15" s="54">
        <f>ROUND(F15*AP15,2)</f>
        <v>0</v>
      </c>
      <c r="J15" s="54">
        <f>ROUND(F15*G15,2)</f>
        <v>0</v>
      </c>
      <c r="K15" s="56" t="s">
        <v>120</v>
      </c>
      <c r="Z15" s="54">
        <f>ROUND(IF(AQ15="5",BJ15,0),2)</f>
        <v>0</v>
      </c>
      <c r="AB15" s="54">
        <f>ROUND(IF(AQ15="1",BH15,0),2)</f>
        <v>0</v>
      </c>
      <c r="AC15" s="54">
        <f>ROUND(IF(AQ15="1",BI15,0),2)</f>
        <v>0</v>
      </c>
      <c r="AD15" s="54">
        <f>ROUND(IF(AQ15="7",BH15,0),2)</f>
        <v>0</v>
      </c>
      <c r="AE15" s="54">
        <f>ROUND(IF(AQ15="7",BI15,0),2)</f>
        <v>0</v>
      </c>
      <c r="AF15" s="54">
        <f>ROUND(IF(AQ15="2",BH15,0),2)</f>
        <v>0</v>
      </c>
      <c r="AG15" s="54">
        <f>ROUND(IF(AQ15="2",BI15,0),2)</f>
        <v>0</v>
      </c>
      <c r="AH15" s="54">
        <f>ROUND(IF(AQ15="0",BJ15,0),2)</f>
        <v>0</v>
      </c>
      <c r="AI15" s="34" t="s">
        <v>107</v>
      </c>
      <c r="AJ15" s="54">
        <f>IF(AN15=0,J15,0)</f>
        <v>0</v>
      </c>
      <c r="AK15" s="54">
        <f>IF(AN15=0,J15,0)</f>
        <v>0</v>
      </c>
      <c r="AL15" s="54">
        <f>IF(AN15=21,J15,0)</f>
        <v>0</v>
      </c>
      <c r="AN15" s="54">
        <v>21</v>
      </c>
      <c r="AO15" s="54">
        <f>G15*0</f>
        <v>0</v>
      </c>
      <c r="AP15" s="54">
        <f>G15*(1-0)</f>
        <v>0</v>
      </c>
      <c r="AQ15" s="57" t="s">
        <v>108</v>
      </c>
      <c r="AV15" s="54">
        <f>ROUND(AW15+AX15,2)</f>
        <v>0</v>
      </c>
      <c r="AW15" s="54">
        <f>ROUND(F15*AO15,2)</f>
        <v>0</v>
      </c>
      <c r="AX15" s="54">
        <f>ROUND(F15*AP15,2)</f>
        <v>0</v>
      </c>
      <c r="AY15" s="57" t="s">
        <v>112</v>
      </c>
      <c r="AZ15" s="57" t="s">
        <v>113</v>
      </c>
      <c r="BA15" s="34" t="s">
        <v>114</v>
      </c>
      <c r="BC15" s="54">
        <f>AW15+AX15</f>
        <v>0</v>
      </c>
      <c r="BD15" s="54">
        <f>G15/(100-BE15)*100</f>
        <v>0</v>
      </c>
      <c r="BE15" s="54">
        <v>0</v>
      </c>
      <c r="BF15" s="54">
        <f>15</f>
        <v>15</v>
      </c>
      <c r="BH15" s="54">
        <f>F15*AO15</f>
        <v>0</v>
      </c>
      <c r="BI15" s="54">
        <f>F15*AP15</f>
        <v>0</v>
      </c>
      <c r="BJ15" s="54">
        <f>F15*G15</f>
        <v>0</v>
      </c>
      <c r="BK15" s="57" t="s">
        <v>115</v>
      </c>
      <c r="BL15" s="54"/>
      <c r="BW15" s="54">
        <v>21</v>
      </c>
      <c r="BX15" s="3" t="s">
        <v>118</v>
      </c>
    </row>
    <row r="16" spans="1:76" ht="25.5" x14ac:dyDescent="0.25">
      <c r="A16" s="1" t="s">
        <v>121</v>
      </c>
      <c r="B16" s="2" t="s">
        <v>122</v>
      </c>
      <c r="C16" s="83" t="s">
        <v>123</v>
      </c>
      <c r="D16" s="78"/>
      <c r="E16" s="2" t="s">
        <v>119</v>
      </c>
      <c r="F16" s="54">
        <f>'Stavební rozpočet'!F16</f>
        <v>0.08</v>
      </c>
      <c r="G16" s="54">
        <f>'Stavební rozpočet'!G16</f>
        <v>0</v>
      </c>
      <c r="H16" s="54">
        <f>ROUND(F16*AO16,2)</f>
        <v>0</v>
      </c>
      <c r="I16" s="54">
        <f>ROUND(F16*AP16,2)</f>
        <v>0</v>
      </c>
      <c r="J16" s="54">
        <f>ROUND(F16*G16,2)</f>
        <v>0</v>
      </c>
      <c r="K16" s="56" t="s">
        <v>4</v>
      </c>
      <c r="Z16" s="54">
        <f>ROUND(IF(AQ16="5",BJ16,0),2)</f>
        <v>0</v>
      </c>
      <c r="AB16" s="54">
        <f>ROUND(IF(AQ16="1",BH16,0),2)</f>
        <v>0</v>
      </c>
      <c r="AC16" s="54">
        <f>ROUND(IF(AQ16="1",BI16,0),2)</f>
        <v>0</v>
      </c>
      <c r="AD16" s="54">
        <f>ROUND(IF(AQ16="7",BH16,0),2)</f>
        <v>0</v>
      </c>
      <c r="AE16" s="54">
        <f>ROUND(IF(AQ16="7",BI16,0),2)</f>
        <v>0</v>
      </c>
      <c r="AF16" s="54">
        <f>ROUND(IF(AQ16="2",BH16,0),2)</f>
        <v>0</v>
      </c>
      <c r="AG16" s="54">
        <f>ROUND(IF(AQ16="2",BI16,0),2)</f>
        <v>0</v>
      </c>
      <c r="AH16" s="54">
        <f>ROUND(IF(AQ16="0",BJ16,0),2)</f>
        <v>0</v>
      </c>
      <c r="AI16" s="34" t="s">
        <v>107</v>
      </c>
      <c r="AJ16" s="54">
        <f>IF(AN16=0,J16,0)</f>
        <v>0</v>
      </c>
      <c r="AK16" s="54">
        <f>IF(AN16=0,J16,0)</f>
        <v>0</v>
      </c>
      <c r="AL16" s="54">
        <f>IF(AN16=21,J16,0)</f>
        <v>0</v>
      </c>
      <c r="AN16" s="54">
        <v>21</v>
      </c>
      <c r="AO16" s="54">
        <f>G16*0</f>
        <v>0</v>
      </c>
      <c r="AP16" s="54">
        <f>G16*(1-0)</f>
        <v>0</v>
      </c>
      <c r="AQ16" s="57" t="s">
        <v>108</v>
      </c>
      <c r="AV16" s="54">
        <f>ROUND(AW16+AX16,2)</f>
        <v>0</v>
      </c>
      <c r="AW16" s="54">
        <f>ROUND(F16*AO16,2)</f>
        <v>0</v>
      </c>
      <c r="AX16" s="54">
        <f>ROUND(F16*AP16,2)</f>
        <v>0</v>
      </c>
      <c r="AY16" s="57" t="s">
        <v>112</v>
      </c>
      <c r="AZ16" s="57" t="s">
        <v>113</v>
      </c>
      <c r="BA16" s="34" t="s">
        <v>114</v>
      </c>
      <c r="BC16" s="54">
        <f>AW16+AX16</f>
        <v>0</v>
      </c>
      <c r="BD16" s="54">
        <f>G16/(100-BE16)*100</f>
        <v>0</v>
      </c>
      <c r="BE16" s="54">
        <v>0</v>
      </c>
      <c r="BF16" s="54">
        <f>16</f>
        <v>16</v>
      </c>
      <c r="BH16" s="54">
        <f>F16*AO16</f>
        <v>0</v>
      </c>
      <c r="BI16" s="54">
        <f>F16*AP16</f>
        <v>0</v>
      </c>
      <c r="BJ16" s="54">
        <f>F16*G16</f>
        <v>0</v>
      </c>
      <c r="BK16" s="57" t="s">
        <v>115</v>
      </c>
      <c r="BL16" s="54"/>
      <c r="BW16" s="54">
        <v>21</v>
      </c>
      <c r="BX16" s="3" t="s">
        <v>123</v>
      </c>
    </row>
    <row r="17" spans="1:76" ht="25.5" x14ac:dyDescent="0.25">
      <c r="A17" s="1" t="s">
        <v>124</v>
      </c>
      <c r="B17" s="2" t="s">
        <v>125</v>
      </c>
      <c r="C17" s="83" t="s">
        <v>126</v>
      </c>
      <c r="D17" s="78"/>
      <c r="E17" s="2" t="s">
        <v>111</v>
      </c>
      <c r="F17" s="54">
        <f>'Stavební rozpočet'!F17</f>
        <v>1</v>
      </c>
      <c r="G17" s="54">
        <f>'Stavební rozpočet'!G17</f>
        <v>0</v>
      </c>
      <c r="H17" s="54">
        <f>ROUND(F17*AO17,2)</f>
        <v>0</v>
      </c>
      <c r="I17" s="54">
        <f>ROUND(F17*AP17,2)</f>
        <v>0</v>
      </c>
      <c r="J17" s="54">
        <f>ROUND(F17*G17,2)</f>
        <v>0</v>
      </c>
      <c r="K17" s="56" t="s">
        <v>4</v>
      </c>
      <c r="Z17" s="54">
        <f>ROUND(IF(AQ17="5",BJ17,0),2)</f>
        <v>0</v>
      </c>
      <c r="AB17" s="54">
        <f>ROUND(IF(AQ17="1",BH17,0),2)</f>
        <v>0</v>
      </c>
      <c r="AC17" s="54">
        <f>ROUND(IF(AQ17="1",BI17,0),2)</f>
        <v>0</v>
      </c>
      <c r="AD17" s="54">
        <f>ROUND(IF(AQ17="7",BH17,0),2)</f>
        <v>0</v>
      </c>
      <c r="AE17" s="54">
        <f>ROUND(IF(AQ17="7",BI17,0),2)</f>
        <v>0</v>
      </c>
      <c r="AF17" s="54">
        <f>ROUND(IF(AQ17="2",BH17,0),2)</f>
        <v>0</v>
      </c>
      <c r="AG17" s="54">
        <f>ROUND(IF(AQ17="2",BI17,0),2)</f>
        <v>0</v>
      </c>
      <c r="AH17" s="54">
        <f>ROUND(IF(AQ17="0",BJ17,0),2)</f>
        <v>0</v>
      </c>
      <c r="AI17" s="34" t="s">
        <v>107</v>
      </c>
      <c r="AJ17" s="54">
        <f>IF(AN17=0,J17,0)</f>
        <v>0</v>
      </c>
      <c r="AK17" s="54">
        <f>IF(AN17=0,J17,0)</f>
        <v>0</v>
      </c>
      <c r="AL17" s="54">
        <f>IF(AN17=21,J17,0)</f>
        <v>0</v>
      </c>
      <c r="AN17" s="54">
        <v>21</v>
      </c>
      <c r="AO17" s="54">
        <f>G17*0</f>
        <v>0</v>
      </c>
      <c r="AP17" s="54">
        <f>G17*(1-0)</f>
        <v>0</v>
      </c>
      <c r="AQ17" s="57" t="s">
        <v>108</v>
      </c>
      <c r="AV17" s="54">
        <f>ROUND(AW17+AX17,2)</f>
        <v>0</v>
      </c>
      <c r="AW17" s="54">
        <f>ROUND(F17*AO17,2)</f>
        <v>0</v>
      </c>
      <c r="AX17" s="54">
        <f>ROUND(F17*AP17,2)</f>
        <v>0</v>
      </c>
      <c r="AY17" s="57" t="s">
        <v>112</v>
      </c>
      <c r="AZ17" s="57" t="s">
        <v>113</v>
      </c>
      <c r="BA17" s="34" t="s">
        <v>114</v>
      </c>
      <c r="BC17" s="54">
        <f>AW17+AX17</f>
        <v>0</v>
      </c>
      <c r="BD17" s="54">
        <f>G17/(100-BE17)*100</f>
        <v>0</v>
      </c>
      <c r="BE17" s="54">
        <v>0</v>
      </c>
      <c r="BF17" s="54">
        <f>17</f>
        <v>17</v>
      </c>
      <c r="BH17" s="54">
        <f>F17*AO17</f>
        <v>0</v>
      </c>
      <c r="BI17" s="54">
        <f>F17*AP17</f>
        <v>0</v>
      </c>
      <c r="BJ17" s="54">
        <f>F17*G17</f>
        <v>0</v>
      </c>
      <c r="BK17" s="57" t="s">
        <v>115</v>
      </c>
      <c r="BL17" s="54"/>
      <c r="BW17" s="54">
        <v>21</v>
      </c>
      <c r="BX17" s="3" t="s">
        <v>126</v>
      </c>
    </row>
    <row r="18" spans="1:76" x14ac:dyDescent="0.25">
      <c r="A18" s="49" t="s">
        <v>4</v>
      </c>
      <c r="B18" s="50" t="s">
        <v>127</v>
      </c>
      <c r="C18" s="161" t="s">
        <v>128</v>
      </c>
      <c r="D18" s="162"/>
      <c r="E18" s="51" t="s">
        <v>69</v>
      </c>
      <c r="F18" s="51" t="s">
        <v>69</v>
      </c>
      <c r="G18" s="51" t="s">
        <v>69</v>
      </c>
      <c r="H18" s="28">
        <f>SUM(H19:H21)</f>
        <v>0</v>
      </c>
      <c r="I18" s="28">
        <f>SUM(I19:I21)</f>
        <v>0</v>
      </c>
      <c r="J18" s="28">
        <f>SUM(J19:J21)</f>
        <v>0</v>
      </c>
      <c r="K18" s="53" t="s">
        <v>4</v>
      </c>
      <c r="AI18" s="34" t="s">
        <v>107</v>
      </c>
      <c r="AS18" s="28">
        <f>SUM(AJ19:AJ21)</f>
        <v>0</v>
      </c>
      <c r="AT18" s="28">
        <f>SUM(AK19:AK21)</f>
        <v>0</v>
      </c>
      <c r="AU18" s="28">
        <f>SUM(AL19:AL21)</f>
        <v>0</v>
      </c>
    </row>
    <row r="19" spans="1:76" x14ac:dyDescent="0.25">
      <c r="A19" s="1" t="s">
        <v>129</v>
      </c>
      <c r="B19" s="2" t="s">
        <v>130</v>
      </c>
      <c r="C19" s="83" t="s">
        <v>131</v>
      </c>
      <c r="D19" s="78"/>
      <c r="E19" s="2" t="s">
        <v>119</v>
      </c>
      <c r="F19" s="54">
        <f>'Stavební rozpočet'!F19</f>
        <v>99</v>
      </c>
      <c r="G19" s="54">
        <f>'Stavební rozpočet'!G19</f>
        <v>0</v>
      </c>
      <c r="H19" s="54">
        <f>ROUND(F19*AO19,2)</f>
        <v>0</v>
      </c>
      <c r="I19" s="54">
        <f>ROUND(F19*AP19,2)</f>
        <v>0</v>
      </c>
      <c r="J19" s="54">
        <f>ROUND(F19*G19,2)</f>
        <v>0</v>
      </c>
      <c r="K19" s="56" t="s">
        <v>120</v>
      </c>
      <c r="Z19" s="54">
        <f>ROUND(IF(AQ19="5",BJ19,0),2)</f>
        <v>0</v>
      </c>
      <c r="AB19" s="54">
        <f>ROUND(IF(AQ19="1",BH19,0),2)</f>
        <v>0</v>
      </c>
      <c r="AC19" s="54">
        <f>ROUND(IF(AQ19="1",BI19,0),2)</f>
        <v>0</v>
      </c>
      <c r="AD19" s="54">
        <f>ROUND(IF(AQ19="7",BH19,0),2)</f>
        <v>0</v>
      </c>
      <c r="AE19" s="54">
        <f>ROUND(IF(AQ19="7",BI19,0),2)</f>
        <v>0</v>
      </c>
      <c r="AF19" s="54">
        <f>ROUND(IF(AQ19="2",BH19,0),2)</f>
        <v>0</v>
      </c>
      <c r="AG19" s="54">
        <f>ROUND(IF(AQ19="2",BI19,0),2)</f>
        <v>0</v>
      </c>
      <c r="AH19" s="54">
        <f>ROUND(IF(AQ19="0",BJ19,0),2)</f>
        <v>0</v>
      </c>
      <c r="AI19" s="34" t="s">
        <v>107</v>
      </c>
      <c r="AJ19" s="54">
        <f>IF(AN19=0,J19,0)</f>
        <v>0</v>
      </c>
      <c r="AK19" s="54">
        <f>IF(AN19=0,J19,0)</f>
        <v>0</v>
      </c>
      <c r="AL19" s="54">
        <f>IF(AN19=21,J19,0)</f>
        <v>0</v>
      </c>
      <c r="AN19" s="54">
        <v>21</v>
      </c>
      <c r="AO19" s="54">
        <f>G19*0</f>
        <v>0</v>
      </c>
      <c r="AP19" s="54">
        <f>G19*(1-0)</f>
        <v>0</v>
      </c>
      <c r="AQ19" s="57" t="s">
        <v>108</v>
      </c>
      <c r="AV19" s="54">
        <f>ROUND(AW19+AX19,2)</f>
        <v>0</v>
      </c>
      <c r="AW19" s="54">
        <f>ROUND(F19*AO19,2)</f>
        <v>0</v>
      </c>
      <c r="AX19" s="54">
        <f>ROUND(F19*AP19,2)</f>
        <v>0</v>
      </c>
      <c r="AY19" s="57" t="s">
        <v>132</v>
      </c>
      <c r="AZ19" s="57" t="s">
        <v>113</v>
      </c>
      <c r="BA19" s="34" t="s">
        <v>114</v>
      </c>
      <c r="BC19" s="54">
        <f>AW19+AX19</f>
        <v>0</v>
      </c>
      <c r="BD19" s="54">
        <f>G19/(100-BE19)*100</f>
        <v>0</v>
      </c>
      <c r="BE19" s="54">
        <v>0</v>
      </c>
      <c r="BF19" s="54">
        <f>19</f>
        <v>19</v>
      </c>
      <c r="BH19" s="54">
        <f>F19*AO19</f>
        <v>0</v>
      </c>
      <c r="BI19" s="54">
        <f>F19*AP19</f>
        <v>0</v>
      </c>
      <c r="BJ19" s="54">
        <f>F19*G19</f>
        <v>0</v>
      </c>
      <c r="BK19" s="57" t="s">
        <v>115</v>
      </c>
      <c r="BL19" s="54">
        <v>11</v>
      </c>
      <c r="BW19" s="54">
        <v>21</v>
      </c>
      <c r="BX19" s="3" t="s">
        <v>131</v>
      </c>
    </row>
    <row r="20" spans="1:76" ht="25.5" x14ac:dyDescent="0.25">
      <c r="A20" s="1" t="s">
        <v>133</v>
      </c>
      <c r="B20" s="2" t="s">
        <v>134</v>
      </c>
      <c r="C20" s="83" t="s">
        <v>135</v>
      </c>
      <c r="D20" s="78"/>
      <c r="E20" s="2" t="s">
        <v>136</v>
      </c>
      <c r="F20" s="54">
        <f>'Stavební rozpočet'!F20</f>
        <v>0.68200000000000005</v>
      </c>
      <c r="G20" s="54">
        <f>'Stavební rozpočet'!G20</f>
        <v>0</v>
      </c>
      <c r="H20" s="54">
        <f>ROUND(F20*AO20,2)</f>
        <v>0</v>
      </c>
      <c r="I20" s="54">
        <f>ROUND(F20*AP20,2)</f>
        <v>0</v>
      </c>
      <c r="J20" s="54">
        <f>ROUND(F20*G20,2)</f>
        <v>0</v>
      </c>
      <c r="K20" s="56" t="s">
        <v>120</v>
      </c>
      <c r="Z20" s="54">
        <f>ROUND(IF(AQ20="5",BJ20,0),2)</f>
        <v>0</v>
      </c>
      <c r="AB20" s="54">
        <f>ROUND(IF(AQ20="1",BH20,0),2)</f>
        <v>0</v>
      </c>
      <c r="AC20" s="54">
        <f>ROUND(IF(AQ20="1",BI20,0),2)</f>
        <v>0</v>
      </c>
      <c r="AD20" s="54">
        <f>ROUND(IF(AQ20="7",BH20,0),2)</f>
        <v>0</v>
      </c>
      <c r="AE20" s="54">
        <f>ROUND(IF(AQ20="7",BI20,0),2)</f>
        <v>0</v>
      </c>
      <c r="AF20" s="54">
        <f>ROUND(IF(AQ20="2",BH20,0),2)</f>
        <v>0</v>
      </c>
      <c r="AG20" s="54">
        <f>ROUND(IF(AQ20="2",BI20,0),2)</f>
        <v>0</v>
      </c>
      <c r="AH20" s="54">
        <f>ROUND(IF(AQ20="0",BJ20,0),2)</f>
        <v>0</v>
      </c>
      <c r="AI20" s="34" t="s">
        <v>107</v>
      </c>
      <c r="AJ20" s="54">
        <f>IF(AN20=0,J20,0)</f>
        <v>0</v>
      </c>
      <c r="AK20" s="54">
        <f>IF(AN20=0,J20,0)</f>
        <v>0</v>
      </c>
      <c r="AL20" s="54">
        <f>IF(AN20=21,J20,0)</f>
        <v>0</v>
      </c>
      <c r="AN20" s="54">
        <v>21</v>
      </c>
      <c r="AO20" s="54">
        <f>G20*0.011524418</f>
        <v>0</v>
      </c>
      <c r="AP20" s="54">
        <f>G20*(1-0.011524418)</f>
        <v>0</v>
      </c>
      <c r="AQ20" s="57" t="s">
        <v>129</v>
      </c>
      <c r="AV20" s="54">
        <f>ROUND(AW20+AX20,2)</f>
        <v>0</v>
      </c>
      <c r="AW20" s="54">
        <f>ROUND(F20*AO20,2)</f>
        <v>0</v>
      </c>
      <c r="AX20" s="54">
        <f>ROUND(F20*AP20,2)</f>
        <v>0</v>
      </c>
      <c r="AY20" s="57" t="s">
        <v>132</v>
      </c>
      <c r="AZ20" s="57" t="s">
        <v>113</v>
      </c>
      <c r="BA20" s="34" t="s">
        <v>114</v>
      </c>
      <c r="BC20" s="54">
        <f>AW20+AX20</f>
        <v>0</v>
      </c>
      <c r="BD20" s="54">
        <f>G20/(100-BE20)*100</f>
        <v>0</v>
      </c>
      <c r="BE20" s="54">
        <v>0</v>
      </c>
      <c r="BF20" s="54">
        <f>20</f>
        <v>20</v>
      </c>
      <c r="BH20" s="54">
        <f>F20*AO20</f>
        <v>0</v>
      </c>
      <c r="BI20" s="54">
        <f>F20*AP20</f>
        <v>0</v>
      </c>
      <c r="BJ20" s="54">
        <f>F20*G20</f>
        <v>0</v>
      </c>
      <c r="BK20" s="57" t="s">
        <v>115</v>
      </c>
      <c r="BL20" s="54">
        <v>11</v>
      </c>
      <c r="BW20" s="54">
        <v>21</v>
      </c>
      <c r="BX20" s="3" t="s">
        <v>135</v>
      </c>
    </row>
    <row r="21" spans="1:76" x14ac:dyDescent="0.25">
      <c r="A21" s="1" t="s">
        <v>137</v>
      </c>
      <c r="B21" s="2" t="s">
        <v>138</v>
      </c>
      <c r="C21" s="83" t="s">
        <v>139</v>
      </c>
      <c r="D21" s="78"/>
      <c r="E21" s="2" t="s">
        <v>136</v>
      </c>
      <c r="F21" s="54">
        <f>'Stavební rozpočet'!F21</f>
        <v>0.68200000000000005</v>
      </c>
      <c r="G21" s="54">
        <f>'Stavební rozpočet'!G21</f>
        <v>0</v>
      </c>
      <c r="H21" s="54">
        <f>ROUND(F21*AO21,2)</f>
        <v>0</v>
      </c>
      <c r="I21" s="54">
        <f>ROUND(F21*AP21,2)</f>
        <v>0</v>
      </c>
      <c r="J21" s="54">
        <f>ROUND(F21*G21,2)</f>
        <v>0</v>
      </c>
      <c r="K21" s="56" t="s">
        <v>120</v>
      </c>
      <c r="Z21" s="54">
        <f>ROUND(IF(AQ21="5",BJ21,0),2)</f>
        <v>0</v>
      </c>
      <c r="AB21" s="54">
        <f>ROUND(IF(AQ21="1",BH21,0),2)</f>
        <v>0</v>
      </c>
      <c r="AC21" s="54">
        <f>ROUND(IF(AQ21="1",BI21,0),2)</f>
        <v>0</v>
      </c>
      <c r="AD21" s="54">
        <f>ROUND(IF(AQ21="7",BH21,0),2)</f>
        <v>0</v>
      </c>
      <c r="AE21" s="54">
        <f>ROUND(IF(AQ21="7",BI21,0),2)</f>
        <v>0</v>
      </c>
      <c r="AF21" s="54">
        <f>ROUND(IF(AQ21="2",BH21,0),2)</f>
        <v>0</v>
      </c>
      <c r="AG21" s="54">
        <f>ROUND(IF(AQ21="2",BI21,0),2)</f>
        <v>0</v>
      </c>
      <c r="AH21" s="54">
        <f>ROUND(IF(AQ21="0",BJ21,0),2)</f>
        <v>0</v>
      </c>
      <c r="AI21" s="34" t="s">
        <v>107</v>
      </c>
      <c r="AJ21" s="54">
        <f>IF(AN21=0,J21,0)</f>
        <v>0</v>
      </c>
      <c r="AK21" s="54">
        <f>IF(AN21=0,J21,0)</f>
        <v>0</v>
      </c>
      <c r="AL21" s="54">
        <f>IF(AN21=21,J21,0)</f>
        <v>0</v>
      </c>
      <c r="AN21" s="54">
        <v>21</v>
      </c>
      <c r="AO21" s="54">
        <f>G21*0</f>
        <v>0</v>
      </c>
      <c r="AP21" s="54">
        <f>G21*(1-0)</f>
        <v>0</v>
      </c>
      <c r="AQ21" s="57" t="s">
        <v>129</v>
      </c>
      <c r="AV21" s="54">
        <f>ROUND(AW21+AX21,2)</f>
        <v>0</v>
      </c>
      <c r="AW21" s="54">
        <f>ROUND(F21*AO21,2)</f>
        <v>0</v>
      </c>
      <c r="AX21" s="54">
        <f>ROUND(F21*AP21,2)</f>
        <v>0</v>
      </c>
      <c r="AY21" s="57" t="s">
        <v>132</v>
      </c>
      <c r="AZ21" s="57" t="s">
        <v>113</v>
      </c>
      <c r="BA21" s="34" t="s">
        <v>114</v>
      </c>
      <c r="BC21" s="54">
        <f>AW21+AX21</f>
        <v>0</v>
      </c>
      <c r="BD21" s="54">
        <f>G21/(100-BE21)*100</f>
        <v>0</v>
      </c>
      <c r="BE21" s="54">
        <v>0</v>
      </c>
      <c r="BF21" s="54">
        <f>21</f>
        <v>21</v>
      </c>
      <c r="BH21" s="54">
        <f>F21*AO21</f>
        <v>0</v>
      </c>
      <c r="BI21" s="54">
        <f>F21*AP21</f>
        <v>0</v>
      </c>
      <c r="BJ21" s="54">
        <f>F21*G21</f>
        <v>0</v>
      </c>
      <c r="BK21" s="57" t="s">
        <v>115</v>
      </c>
      <c r="BL21" s="54">
        <v>11</v>
      </c>
      <c r="BW21" s="54">
        <v>21</v>
      </c>
      <c r="BX21" s="3" t="s">
        <v>139</v>
      </c>
    </row>
    <row r="22" spans="1:76" x14ac:dyDescent="0.25">
      <c r="A22" s="49" t="s">
        <v>4</v>
      </c>
      <c r="B22" s="50" t="s">
        <v>140</v>
      </c>
      <c r="C22" s="161" t="s">
        <v>141</v>
      </c>
      <c r="D22" s="162"/>
      <c r="E22" s="51" t="s">
        <v>69</v>
      </c>
      <c r="F22" s="51" t="s">
        <v>69</v>
      </c>
      <c r="G22" s="51" t="s">
        <v>69</v>
      </c>
      <c r="H22" s="28">
        <f>SUM(H23:H25)</f>
        <v>0</v>
      </c>
      <c r="I22" s="28">
        <f>SUM(I23:I25)</f>
        <v>0</v>
      </c>
      <c r="J22" s="28">
        <f>SUM(J23:J25)</f>
        <v>0</v>
      </c>
      <c r="K22" s="53" t="s">
        <v>4</v>
      </c>
      <c r="AI22" s="34" t="s">
        <v>107</v>
      </c>
      <c r="AS22" s="28">
        <f>SUM(AJ23:AJ25)</f>
        <v>0</v>
      </c>
      <c r="AT22" s="28">
        <f>SUM(AK23:AK25)</f>
        <v>0</v>
      </c>
      <c r="AU22" s="28">
        <f>SUM(AL23:AL25)</f>
        <v>0</v>
      </c>
    </row>
    <row r="23" spans="1:76" x14ac:dyDescent="0.25">
      <c r="A23" s="1" t="s">
        <v>142</v>
      </c>
      <c r="B23" s="2" t="s">
        <v>143</v>
      </c>
      <c r="C23" s="83" t="s">
        <v>144</v>
      </c>
      <c r="D23" s="78"/>
      <c r="E23" s="2" t="s">
        <v>119</v>
      </c>
      <c r="F23" s="54">
        <f>'Stavební rozpočet'!F23</f>
        <v>40</v>
      </c>
      <c r="G23" s="54">
        <f>'Stavební rozpočet'!G23</f>
        <v>0</v>
      </c>
      <c r="H23" s="54">
        <f>ROUND(F23*AO23,2)</f>
        <v>0</v>
      </c>
      <c r="I23" s="54">
        <f>ROUND(F23*AP23,2)</f>
        <v>0</v>
      </c>
      <c r="J23" s="54">
        <f>ROUND(F23*G23,2)</f>
        <v>0</v>
      </c>
      <c r="K23" s="56" t="s">
        <v>120</v>
      </c>
      <c r="Z23" s="54">
        <f>ROUND(IF(AQ23="5",BJ23,0),2)</f>
        <v>0</v>
      </c>
      <c r="AB23" s="54">
        <f>ROUND(IF(AQ23="1",BH23,0),2)</f>
        <v>0</v>
      </c>
      <c r="AC23" s="54">
        <f>ROUND(IF(AQ23="1",BI23,0),2)</f>
        <v>0</v>
      </c>
      <c r="AD23" s="54">
        <f>ROUND(IF(AQ23="7",BH23,0),2)</f>
        <v>0</v>
      </c>
      <c r="AE23" s="54">
        <f>ROUND(IF(AQ23="7",BI23,0),2)</f>
        <v>0</v>
      </c>
      <c r="AF23" s="54">
        <f>ROUND(IF(AQ23="2",BH23,0),2)</f>
        <v>0</v>
      </c>
      <c r="AG23" s="54">
        <f>ROUND(IF(AQ23="2",BI23,0),2)</f>
        <v>0</v>
      </c>
      <c r="AH23" s="54">
        <f>ROUND(IF(AQ23="0",BJ23,0),2)</f>
        <v>0</v>
      </c>
      <c r="AI23" s="34" t="s">
        <v>107</v>
      </c>
      <c r="AJ23" s="54">
        <f>IF(AN23=0,J23,0)</f>
        <v>0</v>
      </c>
      <c r="AK23" s="54">
        <f>IF(AN23=0,J23,0)</f>
        <v>0</v>
      </c>
      <c r="AL23" s="54">
        <f>IF(AN23=21,J23,0)</f>
        <v>0</v>
      </c>
      <c r="AN23" s="54">
        <v>21</v>
      </c>
      <c r="AO23" s="54">
        <f>G23*0</f>
        <v>0</v>
      </c>
      <c r="AP23" s="54">
        <f>G23*(1-0)</f>
        <v>0</v>
      </c>
      <c r="AQ23" s="57" t="s">
        <v>108</v>
      </c>
      <c r="AV23" s="54">
        <f>ROUND(AW23+AX23,2)</f>
        <v>0</v>
      </c>
      <c r="AW23" s="54">
        <f>ROUND(F23*AO23,2)</f>
        <v>0</v>
      </c>
      <c r="AX23" s="54">
        <f>ROUND(F23*AP23,2)</f>
        <v>0</v>
      </c>
      <c r="AY23" s="57" t="s">
        <v>145</v>
      </c>
      <c r="AZ23" s="57" t="s">
        <v>113</v>
      </c>
      <c r="BA23" s="34" t="s">
        <v>114</v>
      </c>
      <c r="BC23" s="54">
        <f>AW23+AX23</f>
        <v>0</v>
      </c>
      <c r="BD23" s="54">
        <f>G23/(100-BE23)*100</f>
        <v>0</v>
      </c>
      <c r="BE23" s="54">
        <v>0</v>
      </c>
      <c r="BF23" s="54">
        <f>23</f>
        <v>23</v>
      </c>
      <c r="BH23" s="54">
        <f>F23*AO23</f>
        <v>0</v>
      </c>
      <c r="BI23" s="54">
        <f>F23*AP23</f>
        <v>0</v>
      </c>
      <c r="BJ23" s="54">
        <f>F23*G23</f>
        <v>0</v>
      </c>
      <c r="BK23" s="57" t="s">
        <v>115</v>
      </c>
      <c r="BL23" s="54">
        <v>16</v>
      </c>
      <c r="BW23" s="54">
        <v>21</v>
      </c>
      <c r="BX23" s="3" t="s">
        <v>144</v>
      </c>
    </row>
    <row r="24" spans="1:76" x14ac:dyDescent="0.25">
      <c r="A24" s="1" t="s">
        <v>146</v>
      </c>
      <c r="B24" s="2" t="s">
        <v>147</v>
      </c>
      <c r="C24" s="83" t="s">
        <v>148</v>
      </c>
      <c r="D24" s="78"/>
      <c r="E24" s="2" t="s">
        <v>111</v>
      </c>
      <c r="F24" s="54">
        <f>'Stavební rozpočet'!F24</f>
        <v>1</v>
      </c>
      <c r="G24" s="54">
        <f>'Stavební rozpočet'!G24</f>
        <v>0</v>
      </c>
      <c r="H24" s="54">
        <f>ROUND(F24*AO24,2)</f>
        <v>0</v>
      </c>
      <c r="I24" s="54">
        <f>ROUND(F24*AP24,2)</f>
        <v>0</v>
      </c>
      <c r="J24" s="54">
        <f>ROUND(F24*G24,2)</f>
        <v>0</v>
      </c>
      <c r="K24" s="56" t="s">
        <v>120</v>
      </c>
      <c r="Z24" s="54">
        <f>ROUND(IF(AQ24="5",BJ24,0),2)</f>
        <v>0</v>
      </c>
      <c r="AB24" s="54">
        <f>ROUND(IF(AQ24="1",BH24,0),2)</f>
        <v>0</v>
      </c>
      <c r="AC24" s="54">
        <f>ROUND(IF(AQ24="1",BI24,0),2)</f>
        <v>0</v>
      </c>
      <c r="AD24" s="54">
        <f>ROUND(IF(AQ24="7",BH24,0),2)</f>
        <v>0</v>
      </c>
      <c r="AE24" s="54">
        <f>ROUND(IF(AQ24="7",BI24,0),2)</f>
        <v>0</v>
      </c>
      <c r="AF24" s="54">
        <f>ROUND(IF(AQ24="2",BH24,0),2)</f>
        <v>0</v>
      </c>
      <c r="AG24" s="54">
        <f>ROUND(IF(AQ24="2",BI24,0),2)</f>
        <v>0</v>
      </c>
      <c r="AH24" s="54">
        <f>ROUND(IF(AQ24="0",BJ24,0),2)</f>
        <v>0</v>
      </c>
      <c r="AI24" s="34" t="s">
        <v>107</v>
      </c>
      <c r="AJ24" s="54">
        <f>IF(AN24=0,J24,0)</f>
        <v>0</v>
      </c>
      <c r="AK24" s="54">
        <f>IF(AN24=0,J24,0)</f>
        <v>0</v>
      </c>
      <c r="AL24" s="54">
        <f>IF(AN24=21,J24,0)</f>
        <v>0</v>
      </c>
      <c r="AN24" s="54">
        <v>21</v>
      </c>
      <c r="AO24" s="54">
        <f>G24*0</f>
        <v>0</v>
      </c>
      <c r="AP24" s="54">
        <f>G24*(1-0)</f>
        <v>0</v>
      </c>
      <c r="AQ24" s="57" t="s">
        <v>108</v>
      </c>
      <c r="AV24" s="54">
        <f>ROUND(AW24+AX24,2)</f>
        <v>0</v>
      </c>
      <c r="AW24" s="54">
        <f>ROUND(F24*AO24,2)</f>
        <v>0</v>
      </c>
      <c r="AX24" s="54">
        <f>ROUND(F24*AP24,2)</f>
        <v>0</v>
      </c>
      <c r="AY24" s="57" t="s">
        <v>145</v>
      </c>
      <c r="AZ24" s="57" t="s">
        <v>113</v>
      </c>
      <c r="BA24" s="34" t="s">
        <v>114</v>
      </c>
      <c r="BC24" s="54">
        <f>AW24+AX24</f>
        <v>0</v>
      </c>
      <c r="BD24" s="54">
        <f>G24/(100-BE24)*100</f>
        <v>0</v>
      </c>
      <c r="BE24" s="54">
        <v>0</v>
      </c>
      <c r="BF24" s="54">
        <f>24</f>
        <v>24</v>
      </c>
      <c r="BH24" s="54">
        <f>F24*AO24</f>
        <v>0</v>
      </c>
      <c r="BI24" s="54">
        <f>F24*AP24</f>
        <v>0</v>
      </c>
      <c r="BJ24" s="54">
        <f>F24*G24</f>
        <v>0</v>
      </c>
      <c r="BK24" s="57" t="s">
        <v>115</v>
      </c>
      <c r="BL24" s="54">
        <v>16</v>
      </c>
      <c r="BW24" s="54">
        <v>21</v>
      </c>
      <c r="BX24" s="3" t="s">
        <v>148</v>
      </c>
    </row>
    <row r="25" spans="1:76" x14ac:dyDescent="0.25">
      <c r="A25" s="1" t="s">
        <v>149</v>
      </c>
      <c r="B25" s="2" t="s">
        <v>150</v>
      </c>
      <c r="C25" s="83" t="s">
        <v>151</v>
      </c>
      <c r="D25" s="78"/>
      <c r="E25" s="2" t="s">
        <v>111</v>
      </c>
      <c r="F25" s="54">
        <f>'Stavební rozpočet'!F25</f>
        <v>2</v>
      </c>
      <c r="G25" s="54">
        <f>'Stavební rozpočet'!G25</f>
        <v>0</v>
      </c>
      <c r="H25" s="54">
        <f>ROUND(F25*AO25,2)</f>
        <v>0</v>
      </c>
      <c r="I25" s="54">
        <f>ROUND(F25*AP25,2)</f>
        <v>0</v>
      </c>
      <c r="J25" s="54">
        <f>ROUND(F25*G25,2)</f>
        <v>0</v>
      </c>
      <c r="K25" s="56" t="s">
        <v>120</v>
      </c>
      <c r="Z25" s="54">
        <f>ROUND(IF(AQ25="5",BJ25,0),2)</f>
        <v>0</v>
      </c>
      <c r="AB25" s="54">
        <f>ROUND(IF(AQ25="1",BH25,0),2)</f>
        <v>0</v>
      </c>
      <c r="AC25" s="54">
        <f>ROUND(IF(AQ25="1",BI25,0),2)</f>
        <v>0</v>
      </c>
      <c r="AD25" s="54">
        <f>ROUND(IF(AQ25="7",BH25,0),2)</f>
        <v>0</v>
      </c>
      <c r="AE25" s="54">
        <f>ROUND(IF(AQ25="7",BI25,0),2)</f>
        <v>0</v>
      </c>
      <c r="AF25" s="54">
        <f>ROUND(IF(AQ25="2",BH25,0),2)</f>
        <v>0</v>
      </c>
      <c r="AG25" s="54">
        <f>ROUND(IF(AQ25="2",BI25,0),2)</f>
        <v>0</v>
      </c>
      <c r="AH25" s="54">
        <f>ROUND(IF(AQ25="0",BJ25,0),2)</f>
        <v>0</v>
      </c>
      <c r="AI25" s="34" t="s">
        <v>107</v>
      </c>
      <c r="AJ25" s="54">
        <f>IF(AN25=0,J25,0)</f>
        <v>0</v>
      </c>
      <c r="AK25" s="54">
        <f>IF(AN25=0,J25,0)</f>
        <v>0</v>
      </c>
      <c r="AL25" s="54">
        <f>IF(AN25=21,J25,0)</f>
        <v>0</v>
      </c>
      <c r="AN25" s="54">
        <v>21</v>
      </c>
      <c r="AO25" s="54">
        <f>G25*0</f>
        <v>0</v>
      </c>
      <c r="AP25" s="54">
        <f>G25*(1-0)</f>
        <v>0</v>
      </c>
      <c r="AQ25" s="57" t="s">
        <v>108</v>
      </c>
      <c r="AV25" s="54">
        <f>ROUND(AW25+AX25,2)</f>
        <v>0</v>
      </c>
      <c r="AW25" s="54">
        <f>ROUND(F25*AO25,2)</f>
        <v>0</v>
      </c>
      <c r="AX25" s="54">
        <f>ROUND(F25*AP25,2)</f>
        <v>0</v>
      </c>
      <c r="AY25" s="57" t="s">
        <v>145</v>
      </c>
      <c r="AZ25" s="57" t="s">
        <v>113</v>
      </c>
      <c r="BA25" s="34" t="s">
        <v>114</v>
      </c>
      <c r="BC25" s="54">
        <f>AW25+AX25</f>
        <v>0</v>
      </c>
      <c r="BD25" s="54">
        <f>G25/(100-BE25)*100</f>
        <v>0</v>
      </c>
      <c r="BE25" s="54">
        <v>0</v>
      </c>
      <c r="BF25" s="54">
        <f>25</f>
        <v>25</v>
      </c>
      <c r="BH25" s="54">
        <f>F25*AO25</f>
        <v>0</v>
      </c>
      <c r="BI25" s="54">
        <f>F25*AP25</f>
        <v>0</v>
      </c>
      <c r="BJ25" s="54">
        <f>F25*G25</f>
        <v>0</v>
      </c>
      <c r="BK25" s="57" t="s">
        <v>115</v>
      </c>
      <c r="BL25" s="54">
        <v>16</v>
      </c>
      <c r="BW25" s="54">
        <v>21</v>
      </c>
      <c r="BX25" s="3" t="s">
        <v>151</v>
      </c>
    </row>
    <row r="26" spans="1:76" x14ac:dyDescent="0.25">
      <c r="A26" s="49" t="s">
        <v>4</v>
      </c>
      <c r="B26" s="50" t="s">
        <v>152</v>
      </c>
      <c r="C26" s="161" t="s">
        <v>153</v>
      </c>
      <c r="D26" s="162"/>
      <c r="E26" s="51" t="s">
        <v>69</v>
      </c>
      <c r="F26" s="51" t="s">
        <v>69</v>
      </c>
      <c r="G26" s="51" t="s">
        <v>69</v>
      </c>
      <c r="H26" s="28">
        <f>SUM(H27:H28)</f>
        <v>0</v>
      </c>
      <c r="I26" s="28">
        <f>SUM(I27:I28)</f>
        <v>0</v>
      </c>
      <c r="J26" s="28">
        <f>SUM(J27:J28)</f>
        <v>0</v>
      </c>
      <c r="K26" s="53" t="s">
        <v>4</v>
      </c>
      <c r="AI26" s="34" t="s">
        <v>107</v>
      </c>
      <c r="AS26" s="28">
        <f>SUM(AJ27:AJ28)</f>
        <v>0</v>
      </c>
      <c r="AT26" s="28">
        <f>SUM(AK27:AK28)</f>
        <v>0</v>
      </c>
      <c r="AU26" s="28">
        <f>SUM(AL27:AL28)</f>
        <v>0</v>
      </c>
    </row>
    <row r="27" spans="1:76" x14ac:dyDescent="0.25">
      <c r="A27" s="1" t="s">
        <v>127</v>
      </c>
      <c r="B27" s="2" t="s">
        <v>154</v>
      </c>
      <c r="C27" s="83" t="s">
        <v>155</v>
      </c>
      <c r="D27" s="78"/>
      <c r="E27" s="2" t="s">
        <v>119</v>
      </c>
      <c r="F27" s="54">
        <f>'Stavební rozpočet'!F27</f>
        <v>8.1000000000000003E-2</v>
      </c>
      <c r="G27" s="54">
        <f>'Stavební rozpočet'!G27</f>
        <v>0</v>
      </c>
      <c r="H27" s="54">
        <f>ROUND(F27*AO27,2)</f>
        <v>0</v>
      </c>
      <c r="I27" s="54">
        <f>ROUND(F27*AP27,2)</f>
        <v>0</v>
      </c>
      <c r="J27" s="54">
        <f>ROUND(F27*G27,2)</f>
        <v>0</v>
      </c>
      <c r="K27" s="56" t="s">
        <v>4</v>
      </c>
      <c r="Z27" s="54">
        <f>ROUND(IF(AQ27="5",BJ27,0),2)</f>
        <v>0</v>
      </c>
      <c r="AB27" s="54">
        <f>ROUND(IF(AQ27="1",BH27,0),2)</f>
        <v>0</v>
      </c>
      <c r="AC27" s="54">
        <f>ROUND(IF(AQ27="1",BI27,0),2)</f>
        <v>0</v>
      </c>
      <c r="AD27" s="54">
        <f>ROUND(IF(AQ27="7",BH27,0),2)</f>
        <v>0</v>
      </c>
      <c r="AE27" s="54">
        <f>ROUND(IF(AQ27="7",BI27,0),2)</f>
        <v>0</v>
      </c>
      <c r="AF27" s="54">
        <f>ROUND(IF(AQ27="2",BH27,0),2)</f>
        <v>0</v>
      </c>
      <c r="AG27" s="54">
        <f>ROUND(IF(AQ27="2",BI27,0),2)</f>
        <v>0</v>
      </c>
      <c r="AH27" s="54">
        <f>ROUND(IF(AQ27="0",BJ27,0),2)</f>
        <v>0</v>
      </c>
      <c r="AI27" s="34" t="s">
        <v>107</v>
      </c>
      <c r="AJ27" s="54">
        <f>IF(AN27=0,J27,0)</f>
        <v>0</v>
      </c>
      <c r="AK27" s="54">
        <f>IF(AN27=0,J27,0)</f>
        <v>0</v>
      </c>
      <c r="AL27" s="54">
        <f>IF(AN27=21,J27,0)</f>
        <v>0</v>
      </c>
      <c r="AN27" s="54">
        <v>21</v>
      </c>
      <c r="AO27" s="54">
        <f>G27*0</f>
        <v>0</v>
      </c>
      <c r="AP27" s="54">
        <f>G27*(1-0)</f>
        <v>0</v>
      </c>
      <c r="AQ27" s="57" t="s">
        <v>108</v>
      </c>
      <c r="AV27" s="54">
        <f>ROUND(AW27+AX27,2)</f>
        <v>0</v>
      </c>
      <c r="AW27" s="54">
        <f>ROUND(F27*AO27,2)</f>
        <v>0</v>
      </c>
      <c r="AX27" s="54">
        <f>ROUND(F27*AP27,2)</f>
        <v>0</v>
      </c>
      <c r="AY27" s="57" t="s">
        <v>156</v>
      </c>
      <c r="AZ27" s="57" t="s">
        <v>113</v>
      </c>
      <c r="BA27" s="34" t="s">
        <v>114</v>
      </c>
      <c r="BC27" s="54">
        <f>AW27+AX27</f>
        <v>0</v>
      </c>
      <c r="BD27" s="54">
        <f>G27/(100-BE27)*100</f>
        <v>0</v>
      </c>
      <c r="BE27" s="54">
        <v>0</v>
      </c>
      <c r="BF27" s="54">
        <f>27</f>
        <v>27</v>
      </c>
      <c r="BH27" s="54">
        <f>F27*AO27</f>
        <v>0</v>
      </c>
      <c r="BI27" s="54">
        <f>F27*AP27</f>
        <v>0</v>
      </c>
      <c r="BJ27" s="54">
        <f>F27*G27</f>
        <v>0</v>
      </c>
      <c r="BK27" s="57" t="s">
        <v>115</v>
      </c>
      <c r="BL27" s="54"/>
      <c r="BW27" s="54">
        <v>21</v>
      </c>
      <c r="BX27" s="3" t="s">
        <v>155</v>
      </c>
    </row>
    <row r="28" spans="1:76" x14ac:dyDescent="0.25">
      <c r="A28" s="1" t="s">
        <v>157</v>
      </c>
      <c r="B28" s="2" t="s">
        <v>158</v>
      </c>
      <c r="C28" s="83" t="s">
        <v>159</v>
      </c>
      <c r="D28" s="78"/>
      <c r="E28" s="2" t="s">
        <v>119</v>
      </c>
      <c r="F28" s="54">
        <f>'Stavební rozpočet'!F28</f>
        <v>0.08</v>
      </c>
      <c r="G28" s="54">
        <f>'Stavební rozpočet'!G28</f>
        <v>0</v>
      </c>
      <c r="H28" s="54">
        <f>ROUND(F28*AO28,2)</f>
        <v>0</v>
      </c>
      <c r="I28" s="54">
        <f>ROUND(F28*AP28,2)</f>
        <v>0</v>
      </c>
      <c r="J28" s="54">
        <f>ROUND(F28*G28,2)</f>
        <v>0</v>
      </c>
      <c r="K28" s="56" t="s">
        <v>4</v>
      </c>
      <c r="Z28" s="54">
        <f>ROUND(IF(AQ28="5",BJ28,0),2)</f>
        <v>0</v>
      </c>
      <c r="AB28" s="54">
        <f>ROUND(IF(AQ28="1",BH28,0),2)</f>
        <v>0</v>
      </c>
      <c r="AC28" s="54">
        <f>ROUND(IF(AQ28="1",BI28,0),2)</f>
        <v>0</v>
      </c>
      <c r="AD28" s="54">
        <f>ROUND(IF(AQ28="7",BH28,0),2)</f>
        <v>0</v>
      </c>
      <c r="AE28" s="54">
        <f>ROUND(IF(AQ28="7",BI28,0),2)</f>
        <v>0</v>
      </c>
      <c r="AF28" s="54">
        <f>ROUND(IF(AQ28="2",BH28,0),2)</f>
        <v>0</v>
      </c>
      <c r="AG28" s="54">
        <f>ROUND(IF(AQ28="2",BI28,0),2)</f>
        <v>0</v>
      </c>
      <c r="AH28" s="54">
        <f>ROUND(IF(AQ28="0",BJ28,0),2)</f>
        <v>0</v>
      </c>
      <c r="AI28" s="34" t="s">
        <v>107</v>
      </c>
      <c r="AJ28" s="54">
        <f>IF(AN28=0,J28,0)</f>
        <v>0</v>
      </c>
      <c r="AK28" s="54">
        <f>IF(AN28=0,J28,0)</f>
        <v>0</v>
      </c>
      <c r="AL28" s="54">
        <f>IF(AN28=21,J28,0)</f>
        <v>0</v>
      </c>
      <c r="AN28" s="54">
        <v>21</v>
      </c>
      <c r="AO28" s="54">
        <f>G28*0</f>
        <v>0</v>
      </c>
      <c r="AP28" s="54">
        <f>G28*(1-0)</f>
        <v>0</v>
      </c>
      <c r="AQ28" s="57" t="s">
        <v>108</v>
      </c>
      <c r="AV28" s="54">
        <f>ROUND(AW28+AX28,2)</f>
        <v>0</v>
      </c>
      <c r="AW28" s="54">
        <f>ROUND(F28*AO28,2)</f>
        <v>0</v>
      </c>
      <c r="AX28" s="54">
        <f>ROUND(F28*AP28,2)</f>
        <v>0</v>
      </c>
      <c r="AY28" s="57" t="s">
        <v>156</v>
      </c>
      <c r="AZ28" s="57" t="s">
        <v>113</v>
      </c>
      <c r="BA28" s="34" t="s">
        <v>114</v>
      </c>
      <c r="BC28" s="54">
        <f>AW28+AX28</f>
        <v>0</v>
      </c>
      <c r="BD28" s="54">
        <f>G28/(100-BE28)*100</f>
        <v>0</v>
      </c>
      <c r="BE28" s="54">
        <v>0</v>
      </c>
      <c r="BF28" s="54">
        <f>28</f>
        <v>28</v>
      </c>
      <c r="BH28" s="54">
        <f>F28*AO28</f>
        <v>0</v>
      </c>
      <c r="BI28" s="54">
        <f>F28*AP28</f>
        <v>0</v>
      </c>
      <c r="BJ28" s="54">
        <f>F28*G28</f>
        <v>0</v>
      </c>
      <c r="BK28" s="57" t="s">
        <v>115</v>
      </c>
      <c r="BL28" s="54"/>
      <c r="BW28" s="54">
        <v>21</v>
      </c>
      <c r="BX28" s="3" t="s">
        <v>159</v>
      </c>
    </row>
    <row r="29" spans="1:76" x14ac:dyDescent="0.25">
      <c r="A29" s="49" t="s">
        <v>4</v>
      </c>
      <c r="B29" s="50" t="s">
        <v>160</v>
      </c>
      <c r="C29" s="161" t="s">
        <v>161</v>
      </c>
      <c r="D29" s="162"/>
      <c r="E29" s="51" t="s">
        <v>69</v>
      </c>
      <c r="F29" s="51" t="s">
        <v>69</v>
      </c>
      <c r="G29" s="51" t="s">
        <v>69</v>
      </c>
      <c r="H29" s="28">
        <f>SUM(H30:H32)</f>
        <v>0</v>
      </c>
      <c r="I29" s="28">
        <f>SUM(I30:I32)</f>
        <v>0</v>
      </c>
      <c r="J29" s="28">
        <f>SUM(J30:J32)</f>
        <v>0</v>
      </c>
      <c r="K29" s="53" t="s">
        <v>4</v>
      </c>
      <c r="AI29" s="34" t="s">
        <v>107</v>
      </c>
      <c r="AS29" s="28">
        <f>SUM(AJ30:AJ32)</f>
        <v>0</v>
      </c>
      <c r="AT29" s="28">
        <f>SUM(AK30:AK32)</f>
        <v>0</v>
      </c>
      <c r="AU29" s="28">
        <f>SUM(AL30:AL32)</f>
        <v>0</v>
      </c>
    </row>
    <row r="30" spans="1:76" x14ac:dyDescent="0.25">
      <c r="A30" s="1" t="s">
        <v>162</v>
      </c>
      <c r="B30" s="2" t="s">
        <v>163</v>
      </c>
      <c r="C30" s="83" t="s">
        <v>164</v>
      </c>
      <c r="D30" s="78"/>
      <c r="E30" s="2" t="s">
        <v>165</v>
      </c>
      <c r="F30" s="54">
        <f>'Stavební rozpočet'!F30</f>
        <v>186.4</v>
      </c>
      <c r="G30" s="54">
        <f>'Stavební rozpočet'!G30</f>
        <v>0</v>
      </c>
      <c r="H30" s="54">
        <f>ROUND(F30*AO30,2)</f>
        <v>0</v>
      </c>
      <c r="I30" s="54">
        <f>ROUND(F30*AP30,2)</f>
        <v>0</v>
      </c>
      <c r="J30" s="54">
        <f>ROUND(F30*G30,2)</f>
        <v>0</v>
      </c>
      <c r="K30" s="56" t="s">
        <v>120</v>
      </c>
      <c r="Z30" s="54">
        <f>ROUND(IF(AQ30="5",BJ30,0),2)</f>
        <v>0</v>
      </c>
      <c r="AB30" s="54">
        <f>ROUND(IF(AQ30="1",BH30,0),2)</f>
        <v>0</v>
      </c>
      <c r="AC30" s="54">
        <f>ROUND(IF(AQ30="1",BI30,0),2)</f>
        <v>0</v>
      </c>
      <c r="AD30" s="54">
        <f>ROUND(IF(AQ30="7",BH30,0),2)</f>
        <v>0</v>
      </c>
      <c r="AE30" s="54">
        <f>ROUND(IF(AQ30="7",BI30,0),2)</f>
        <v>0</v>
      </c>
      <c r="AF30" s="54">
        <f>ROUND(IF(AQ30="2",BH30,0),2)</f>
        <v>0</v>
      </c>
      <c r="AG30" s="54">
        <f>ROUND(IF(AQ30="2",BI30,0),2)</f>
        <v>0</v>
      </c>
      <c r="AH30" s="54">
        <f>ROUND(IF(AQ30="0",BJ30,0),2)</f>
        <v>0</v>
      </c>
      <c r="AI30" s="34" t="s">
        <v>107</v>
      </c>
      <c r="AJ30" s="54">
        <f>IF(AN30=0,J30,0)</f>
        <v>0</v>
      </c>
      <c r="AK30" s="54">
        <f>IF(AN30=0,J30,0)</f>
        <v>0</v>
      </c>
      <c r="AL30" s="54">
        <f>IF(AN30=21,J30,0)</f>
        <v>0</v>
      </c>
      <c r="AN30" s="54">
        <v>21</v>
      </c>
      <c r="AO30" s="54">
        <f>G30*0</f>
        <v>0</v>
      </c>
      <c r="AP30" s="54">
        <f>G30*(1-0)</f>
        <v>0</v>
      </c>
      <c r="AQ30" s="57" t="s">
        <v>116</v>
      </c>
      <c r="AV30" s="54">
        <f>ROUND(AW30+AX30,2)</f>
        <v>0</v>
      </c>
      <c r="AW30" s="54">
        <f>ROUND(F30*AO30,2)</f>
        <v>0</v>
      </c>
      <c r="AX30" s="54">
        <f>ROUND(F30*AP30,2)</f>
        <v>0</v>
      </c>
      <c r="AY30" s="57" t="s">
        <v>166</v>
      </c>
      <c r="AZ30" s="57" t="s">
        <v>167</v>
      </c>
      <c r="BA30" s="34" t="s">
        <v>114</v>
      </c>
      <c r="BC30" s="54">
        <f>AW30+AX30</f>
        <v>0</v>
      </c>
      <c r="BD30" s="54">
        <f>G30/(100-BE30)*100</f>
        <v>0</v>
      </c>
      <c r="BE30" s="54">
        <v>0</v>
      </c>
      <c r="BF30" s="54">
        <f>30</f>
        <v>30</v>
      </c>
      <c r="BH30" s="54">
        <f>F30*AO30</f>
        <v>0</v>
      </c>
      <c r="BI30" s="54">
        <f>F30*AP30</f>
        <v>0</v>
      </c>
      <c r="BJ30" s="54">
        <f>F30*G30</f>
        <v>0</v>
      </c>
      <c r="BK30" s="57" t="s">
        <v>115</v>
      </c>
      <c r="BL30" s="54"/>
      <c r="BW30" s="54">
        <v>21</v>
      </c>
      <c r="BX30" s="3" t="s">
        <v>164</v>
      </c>
    </row>
    <row r="31" spans="1:76" ht="13.5" customHeight="1" x14ac:dyDescent="0.25">
      <c r="A31" s="58"/>
      <c r="B31" s="59" t="s">
        <v>53</v>
      </c>
      <c r="C31" s="163" t="s">
        <v>168</v>
      </c>
      <c r="D31" s="164"/>
      <c r="E31" s="164"/>
      <c r="F31" s="164"/>
      <c r="G31" s="164"/>
      <c r="H31" s="164"/>
      <c r="I31" s="164"/>
      <c r="J31" s="164"/>
      <c r="K31" s="166"/>
    </row>
    <row r="32" spans="1:76" x14ac:dyDescent="0.25">
      <c r="A32" s="1" t="s">
        <v>169</v>
      </c>
      <c r="B32" s="2" t="s">
        <v>170</v>
      </c>
      <c r="C32" s="83" t="s">
        <v>171</v>
      </c>
      <c r="D32" s="78"/>
      <c r="E32" s="2" t="s">
        <v>119</v>
      </c>
      <c r="F32" s="54">
        <f>'Stavební rozpočet'!F32</f>
        <v>184</v>
      </c>
      <c r="G32" s="54">
        <f>'Stavební rozpočet'!G32</f>
        <v>0</v>
      </c>
      <c r="H32" s="54">
        <f>ROUND(F32*AO32,2)</f>
        <v>0</v>
      </c>
      <c r="I32" s="54">
        <f>ROUND(F32*AP32,2)</f>
        <v>0</v>
      </c>
      <c r="J32" s="54">
        <f>ROUND(F32*G32,2)</f>
        <v>0</v>
      </c>
      <c r="K32" s="56" t="s">
        <v>120</v>
      </c>
      <c r="Z32" s="54">
        <f>ROUND(IF(AQ32="5",BJ32,0),2)</f>
        <v>0</v>
      </c>
      <c r="AB32" s="54">
        <f>ROUND(IF(AQ32="1",BH32,0),2)</f>
        <v>0</v>
      </c>
      <c r="AC32" s="54">
        <f>ROUND(IF(AQ32="1",BI32,0),2)</f>
        <v>0</v>
      </c>
      <c r="AD32" s="54">
        <f>ROUND(IF(AQ32="7",BH32,0),2)</f>
        <v>0</v>
      </c>
      <c r="AE32" s="54">
        <f>ROUND(IF(AQ32="7",BI32,0),2)</f>
        <v>0</v>
      </c>
      <c r="AF32" s="54">
        <f>ROUND(IF(AQ32="2",BH32,0),2)</f>
        <v>0</v>
      </c>
      <c r="AG32" s="54">
        <f>ROUND(IF(AQ32="2",BI32,0),2)</f>
        <v>0</v>
      </c>
      <c r="AH32" s="54">
        <f>ROUND(IF(AQ32="0",BJ32,0),2)</f>
        <v>0</v>
      </c>
      <c r="AI32" s="34" t="s">
        <v>107</v>
      </c>
      <c r="AJ32" s="54">
        <f>IF(AN32=0,J32,0)</f>
        <v>0</v>
      </c>
      <c r="AK32" s="54">
        <f>IF(AN32=0,J32,0)</f>
        <v>0</v>
      </c>
      <c r="AL32" s="54">
        <f>IF(AN32=21,J32,0)</f>
        <v>0</v>
      </c>
      <c r="AN32" s="54">
        <v>21</v>
      </c>
      <c r="AO32" s="54">
        <f>G32*0</f>
        <v>0</v>
      </c>
      <c r="AP32" s="54">
        <f>G32*(1-0)</f>
        <v>0</v>
      </c>
      <c r="AQ32" s="57" t="s">
        <v>108</v>
      </c>
      <c r="AV32" s="54">
        <f>ROUND(AW32+AX32,2)</f>
        <v>0</v>
      </c>
      <c r="AW32" s="54">
        <f>ROUND(F32*AO32,2)</f>
        <v>0</v>
      </c>
      <c r="AX32" s="54">
        <f>ROUND(F32*AP32,2)</f>
        <v>0</v>
      </c>
      <c r="AY32" s="57" t="s">
        <v>166</v>
      </c>
      <c r="AZ32" s="57" t="s">
        <v>167</v>
      </c>
      <c r="BA32" s="34" t="s">
        <v>114</v>
      </c>
      <c r="BC32" s="54">
        <f>AW32+AX32</f>
        <v>0</v>
      </c>
      <c r="BD32" s="54">
        <f>G32/(100-BE32)*100</f>
        <v>0</v>
      </c>
      <c r="BE32" s="54">
        <v>0</v>
      </c>
      <c r="BF32" s="54">
        <f>32</f>
        <v>32</v>
      </c>
      <c r="BH32" s="54">
        <f>F32*AO32</f>
        <v>0</v>
      </c>
      <c r="BI32" s="54">
        <f>F32*AP32</f>
        <v>0</v>
      </c>
      <c r="BJ32" s="54">
        <f>F32*G32</f>
        <v>0</v>
      </c>
      <c r="BK32" s="57" t="s">
        <v>115</v>
      </c>
      <c r="BL32" s="54"/>
      <c r="BW32" s="54">
        <v>21</v>
      </c>
      <c r="BX32" s="3" t="s">
        <v>171</v>
      </c>
    </row>
    <row r="33" spans="1:76" x14ac:dyDescent="0.25">
      <c r="A33" s="49" t="s">
        <v>4</v>
      </c>
      <c r="B33" s="50" t="s">
        <v>172</v>
      </c>
      <c r="C33" s="161" t="s">
        <v>173</v>
      </c>
      <c r="D33" s="162"/>
      <c r="E33" s="51" t="s">
        <v>69</v>
      </c>
      <c r="F33" s="51" t="s">
        <v>69</v>
      </c>
      <c r="G33" s="51" t="s">
        <v>69</v>
      </c>
      <c r="H33" s="28">
        <f>SUM(H34:H39)</f>
        <v>0</v>
      </c>
      <c r="I33" s="28">
        <f>SUM(I34:I39)</f>
        <v>0</v>
      </c>
      <c r="J33" s="28">
        <f>SUM(J34:J39)</f>
        <v>0</v>
      </c>
      <c r="K33" s="53" t="s">
        <v>4</v>
      </c>
      <c r="AI33" s="34" t="s">
        <v>107</v>
      </c>
      <c r="AS33" s="28">
        <f>SUM(AJ34:AJ39)</f>
        <v>0</v>
      </c>
      <c r="AT33" s="28">
        <f>SUM(AK34:AK39)</f>
        <v>0</v>
      </c>
      <c r="AU33" s="28">
        <f>SUM(AL34:AL39)</f>
        <v>0</v>
      </c>
    </row>
    <row r="34" spans="1:76" x14ac:dyDescent="0.25">
      <c r="A34" s="1" t="s">
        <v>174</v>
      </c>
      <c r="B34" s="2" t="s">
        <v>175</v>
      </c>
      <c r="C34" s="83" t="s">
        <v>176</v>
      </c>
      <c r="D34" s="78"/>
      <c r="E34" s="2" t="s">
        <v>177</v>
      </c>
      <c r="F34" s="54">
        <f>'Stavební rozpočet'!F34</f>
        <v>2.33</v>
      </c>
      <c r="G34" s="54">
        <f>'Stavební rozpočet'!G34</f>
        <v>0</v>
      </c>
      <c r="H34" s="54">
        <f t="shared" ref="H34:H39" si="0">ROUND(F34*AO34,2)</f>
        <v>0</v>
      </c>
      <c r="I34" s="54">
        <f t="shared" ref="I34:I39" si="1">ROUND(F34*AP34,2)</f>
        <v>0</v>
      </c>
      <c r="J34" s="54">
        <f t="shared" ref="J34:J39" si="2">ROUND(F34*G34,2)</f>
        <v>0</v>
      </c>
      <c r="K34" s="56" t="s">
        <v>120</v>
      </c>
      <c r="Z34" s="54">
        <f t="shared" ref="Z34:Z39" si="3">ROUND(IF(AQ34="5",BJ34,0),2)</f>
        <v>0</v>
      </c>
      <c r="AB34" s="54">
        <f t="shared" ref="AB34:AB39" si="4">ROUND(IF(AQ34="1",BH34,0),2)</f>
        <v>0</v>
      </c>
      <c r="AC34" s="54">
        <f t="shared" ref="AC34:AC39" si="5">ROUND(IF(AQ34="1",BI34,0),2)</f>
        <v>0</v>
      </c>
      <c r="AD34" s="54">
        <f t="shared" ref="AD34:AD39" si="6">ROUND(IF(AQ34="7",BH34,0),2)</f>
        <v>0</v>
      </c>
      <c r="AE34" s="54">
        <f t="shared" ref="AE34:AE39" si="7">ROUND(IF(AQ34="7",BI34,0),2)</f>
        <v>0</v>
      </c>
      <c r="AF34" s="54">
        <f t="shared" ref="AF34:AF39" si="8">ROUND(IF(AQ34="2",BH34,0),2)</f>
        <v>0</v>
      </c>
      <c r="AG34" s="54">
        <f t="shared" ref="AG34:AG39" si="9">ROUND(IF(AQ34="2",BI34,0),2)</f>
        <v>0</v>
      </c>
      <c r="AH34" s="54">
        <f t="shared" ref="AH34:AH39" si="10">ROUND(IF(AQ34="0",BJ34,0),2)</f>
        <v>0</v>
      </c>
      <c r="AI34" s="34" t="s">
        <v>107</v>
      </c>
      <c r="AJ34" s="54">
        <f t="shared" ref="AJ34:AJ39" si="11">IF(AN34=0,J34,0)</f>
        <v>0</v>
      </c>
      <c r="AK34" s="54">
        <f t="shared" ref="AK34:AK39" si="12">IF(AN34=0,J34,0)</f>
        <v>0</v>
      </c>
      <c r="AL34" s="54">
        <f t="shared" ref="AL34:AL39" si="13">IF(AN34=21,J34,0)</f>
        <v>0</v>
      </c>
      <c r="AN34" s="54">
        <v>21</v>
      </c>
      <c r="AO34" s="54">
        <f t="shared" ref="AO34:AO39" si="14">G34*0</f>
        <v>0</v>
      </c>
      <c r="AP34" s="54">
        <f t="shared" ref="AP34:AP39" si="15">G34*(1-0)</f>
        <v>0</v>
      </c>
      <c r="AQ34" s="57" t="s">
        <v>129</v>
      </c>
      <c r="AV34" s="54">
        <f t="shared" ref="AV34:AV39" si="16">ROUND(AW34+AX34,2)</f>
        <v>0</v>
      </c>
      <c r="AW34" s="54">
        <f t="shared" ref="AW34:AW39" si="17">ROUND(F34*AO34,2)</f>
        <v>0</v>
      </c>
      <c r="AX34" s="54">
        <f t="shared" ref="AX34:AX39" si="18">ROUND(F34*AP34,2)</f>
        <v>0</v>
      </c>
      <c r="AY34" s="57" t="s">
        <v>178</v>
      </c>
      <c r="AZ34" s="57" t="s">
        <v>167</v>
      </c>
      <c r="BA34" s="34" t="s">
        <v>114</v>
      </c>
      <c r="BC34" s="54">
        <f t="shared" ref="BC34:BC39" si="19">AW34+AX34</f>
        <v>0</v>
      </c>
      <c r="BD34" s="54">
        <f t="shared" ref="BD34:BD39" si="20">G34/(100-BE34)*100</f>
        <v>0</v>
      </c>
      <c r="BE34" s="54">
        <v>0</v>
      </c>
      <c r="BF34" s="54">
        <f>34</f>
        <v>34</v>
      </c>
      <c r="BH34" s="54">
        <f t="shared" ref="BH34:BH39" si="21">F34*AO34</f>
        <v>0</v>
      </c>
      <c r="BI34" s="54">
        <f t="shared" ref="BI34:BI39" si="22">F34*AP34</f>
        <v>0</v>
      </c>
      <c r="BJ34" s="54">
        <f t="shared" ref="BJ34:BJ39" si="23">F34*G34</f>
        <v>0</v>
      </c>
      <c r="BK34" s="57" t="s">
        <v>115</v>
      </c>
      <c r="BL34" s="54"/>
      <c r="BW34" s="54">
        <v>21</v>
      </c>
      <c r="BX34" s="3" t="s">
        <v>176</v>
      </c>
    </row>
    <row r="35" spans="1:76" x14ac:dyDescent="0.25">
      <c r="A35" s="1" t="s">
        <v>140</v>
      </c>
      <c r="B35" s="2" t="s">
        <v>138</v>
      </c>
      <c r="C35" s="83" t="s">
        <v>179</v>
      </c>
      <c r="D35" s="78"/>
      <c r="E35" s="2" t="s">
        <v>136</v>
      </c>
      <c r="F35" s="54">
        <f>'Stavební rozpočet'!F35</f>
        <v>2.15</v>
      </c>
      <c r="G35" s="54">
        <f>'Stavební rozpočet'!G35</f>
        <v>0</v>
      </c>
      <c r="H35" s="54">
        <f t="shared" si="0"/>
        <v>0</v>
      </c>
      <c r="I35" s="54">
        <f t="shared" si="1"/>
        <v>0</v>
      </c>
      <c r="J35" s="54">
        <f t="shared" si="2"/>
        <v>0</v>
      </c>
      <c r="K35" s="56" t="s">
        <v>120</v>
      </c>
      <c r="Z35" s="54">
        <f t="shared" si="3"/>
        <v>0</v>
      </c>
      <c r="AB35" s="54">
        <f t="shared" si="4"/>
        <v>0</v>
      </c>
      <c r="AC35" s="54">
        <f t="shared" si="5"/>
        <v>0</v>
      </c>
      <c r="AD35" s="54">
        <f t="shared" si="6"/>
        <v>0</v>
      </c>
      <c r="AE35" s="54">
        <f t="shared" si="7"/>
        <v>0</v>
      </c>
      <c r="AF35" s="54">
        <f t="shared" si="8"/>
        <v>0</v>
      </c>
      <c r="AG35" s="54">
        <f t="shared" si="9"/>
        <v>0</v>
      </c>
      <c r="AH35" s="54">
        <f t="shared" si="10"/>
        <v>0</v>
      </c>
      <c r="AI35" s="34" t="s">
        <v>107</v>
      </c>
      <c r="AJ35" s="54">
        <f t="shared" si="11"/>
        <v>0</v>
      </c>
      <c r="AK35" s="54">
        <f t="shared" si="12"/>
        <v>0</v>
      </c>
      <c r="AL35" s="54">
        <f t="shared" si="13"/>
        <v>0</v>
      </c>
      <c r="AN35" s="54">
        <v>21</v>
      </c>
      <c r="AO35" s="54">
        <f t="shared" si="14"/>
        <v>0</v>
      </c>
      <c r="AP35" s="54">
        <f t="shared" si="15"/>
        <v>0</v>
      </c>
      <c r="AQ35" s="57" t="s">
        <v>129</v>
      </c>
      <c r="AV35" s="54">
        <f t="shared" si="16"/>
        <v>0</v>
      </c>
      <c r="AW35" s="54">
        <f t="shared" si="17"/>
        <v>0</v>
      </c>
      <c r="AX35" s="54">
        <f t="shared" si="18"/>
        <v>0</v>
      </c>
      <c r="AY35" s="57" t="s">
        <v>178</v>
      </c>
      <c r="AZ35" s="57" t="s">
        <v>167</v>
      </c>
      <c r="BA35" s="34" t="s">
        <v>114</v>
      </c>
      <c r="BC35" s="54">
        <f t="shared" si="19"/>
        <v>0</v>
      </c>
      <c r="BD35" s="54">
        <f t="shared" si="20"/>
        <v>0</v>
      </c>
      <c r="BE35" s="54">
        <v>0</v>
      </c>
      <c r="BF35" s="54">
        <f>35</f>
        <v>35</v>
      </c>
      <c r="BH35" s="54">
        <f t="shared" si="21"/>
        <v>0</v>
      </c>
      <c r="BI35" s="54">
        <f t="shared" si="22"/>
        <v>0</v>
      </c>
      <c r="BJ35" s="54">
        <f t="shared" si="23"/>
        <v>0</v>
      </c>
      <c r="BK35" s="57" t="s">
        <v>115</v>
      </c>
      <c r="BL35" s="54"/>
      <c r="BW35" s="54">
        <v>21</v>
      </c>
      <c r="BX35" s="3" t="s">
        <v>179</v>
      </c>
    </row>
    <row r="36" spans="1:76" x14ac:dyDescent="0.25">
      <c r="A36" s="1" t="s">
        <v>180</v>
      </c>
      <c r="B36" s="2" t="s">
        <v>175</v>
      </c>
      <c r="C36" s="83" t="s">
        <v>181</v>
      </c>
      <c r="D36" s="78"/>
      <c r="E36" s="2" t="s">
        <v>177</v>
      </c>
      <c r="F36" s="54">
        <f>'Stavební rozpočet'!F36</f>
        <v>7</v>
      </c>
      <c r="G36" s="54">
        <f>'Stavební rozpočet'!G36</f>
        <v>0</v>
      </c>
      <c r="H36" s="54">
        <f t="shared" si="0"/>
        <v>0</v>
      </c>
      <c r="I36" s="54">
        <f t="shared" si="1"/>
        <v>0</v>
      </c>
      <c r="J36" s="54">
        <f t="shared" si="2"/>
        <v>0</v>
      </c>
      <c r="K36" s="56" t="s">
        <v>120</v>
      </c>
      <c r="Z36" s="54">
        <f t="shared" si="3"/>
        <v>0</v>
      </c>
      <c r="AB36" s="54">
        <f t="shared" si="4"/>
        <v>0</v>
      </c>
      <c r="AC36" s="54">
        <f t="shared" si="5"/>
        <v>0</v>
      </c>
      <c r="AD36" s="54">
        <f t="shared" si="6"/>
        <v>0</v>
      </c>
      <c r="AE36" s="54">
        <f t="shared" si="7"/>
        <v>0</v>
      </c>
      <c r="AF36" s="54">
        <f t="shared" si="8"/>
        <v>0</v>
      </c>
      <c r="AG36" s="54">
        <f t="shared" si="9"/>
        <v>0</v>
      </c>
      <c r="AH36" s="54">
        <f t="shared" si="10"/>
        <v>0</v>
      </c>
      <c r="AI36" s="34" t="s">
        <v>107</v>
      </c>
      <c r="AJ36" s="54">
        <f t="shared" si="11"/>
        <v>0</v>
      </c>
      <c r="AK36" s="54">
        <f t="shared" si="12"/>
        <v>0</v>
      </c>
      <c r="AL36" s="54">
        <f t="shared" si="13"/>
        <v>0</v>
      </c>
      <c r="AN36" s="54">
        <v>21</v>
      </c>
      <c r="AO36" s="54">
        <f t="shared" si="14"/>
        <v>0</v>
      </c>
      <c r="AP36" s="54">
        <f t="shared" si="15"/>
        <v>0</v>
      </c>
      <c r="AQ36" s="57" t="s">
        <v>129</v>
      </c>
      <c r="AV36" s="54">
        <f t="shared" si="16"/>
        <v>0</v>
      </c>
      <c r="AW36" s="54">
        <f t="shared" si="17"/>
        <v>0</v>
      </c>
      <c r="AX36" s="54">
        <f t="shared" si="18"/>
        <v>0</v>
      </c>
      <c r="AY36" s="57" t="s">
        <v>178</v>
      </c>
      <c r="AZ36" s="57" t="s">
        <v>167</v>
      </c>
      <c r="BA36" s="34" t="s">
        <v>114</v>
      </c>
      <c r="BC36" s="54">
        <f t="shared" si="19"/>
        <v>0</v>
      </c>
      <c r="BD36" s="54">
        <f t="shared" si="20"/>
        <v>0</v>
      </c>
      <c r="BE36" s="54">
        <v>0</v>
      </c>
      <c r="BF36" s="54">
        <f>36</f>
        <v>36</v>
      </c>
      <c r="BH36" s="54">
        <f t="shared" si="21"/>
        <v>0</v>
      </c>
      <c r="BI36" s="54">
        <f t="shared" si="22"/>
        <v>0</v>
      </c>
      <c r="BJ36" s="54">
        <f t="shared" si="23"/>
        <v>0</v>
      </c>
      <c r="BK36" s="57" t="s">
        <v>115</v>
      </c>
      <c r="BL36" s="54"/>
      <c r="BW36" s="54">
        <v>21</v>
      </c>
      <c r="BX36" s="3" t="s">
        <v>181</v>
      </c>
    </row>
    <row r="37" spans="1:76" x14ac:dyDescent="0.25">
      <c r="A37" s="1" t="s">
        <v>182</v>
      </c>
      <c r="B37" s="2" t="s">
        <v>138</v>
      </c>
      <c r="C37" s="83" t="s">
        <v>183</v>
      </c>
      <c r="D37" s="78"/>
      <c r="E37" s="2" t="s">
        <v>136</v>
      </c>
      <c r="F37" s="54">
        <f>'Stavební rozpočet'!F37</f>
        <v>16</v>
      </c>
      <c r="G37" s="54">
        <f>'Stavební rozpočet'!G37</f>
        <v>0</v>
      </c>
      <c r="H37" s="54">
        <f t="shared" si="0"/>
        <v>0</v>
      </c>
      <c r="I37" s="54">
        <f t="shared" si="1"/>
        <v>0</v>
      </c>
      <c r="J37" s="54">
        <f t="shared" si="2"/>
        <v>0</v>
      </c>
      <c r="K37" s="56" t="s">
        <v>120</v>
      </c>
      <c r="Z37" s="54">
        <f t="shared" si="3"/>
        <v>0</v>
      </c>
      <c r="AB37" s="54">
        <f t="shared" si="4"/>
        <v>0</v>
      </c>
      <c r="AC37" s="54">
        <f t="shared" si="5"/>
        <v>0</v>
      </c>
      <c r="AD37" s="54">
        <f t="shared" si="6"/>
        <v>0</v>
      </c>
      <c r="AE37" s="54">
        <f t="shared" si="7"/>
        <v>0</v>
      </c>
      <c r="AF37" s="54">
        <f t="shared" si="8"/>
        <v>0</v>
      </c>
      <c r="AG37" s="54">
        <f t="shared" si="9"/>
        <v>0</v>
      </c>
      <c r="AH37" s="54">
        <f t="shared" si="10"/>
        <v>0</v>
      </c>
      <c r="AI37" s="34" t="s">
        <v>107</v>
      </c>
      <c r="AJ37" s="54">
        <f t="shared" si="11"/>
        <v>0</v>
      </c>
      <c r="AK37" s="54">
        <f t="shared" si="12"/>
        <v>0</v>
      </c>
      <c r="AL37" s="54">
        <f t="shared" si="13"/>
        <v>0</v>
      </c>
      <c r="AN37" s="54">
        <v>21</v>
      </c>
      <c r="AO37" s="54">
        <f t="shared" si="14"/>
        <v>0</v>
      </c>
      <c r="AP37" s="54">
        <f t="shared" si="15"/>
        <v>0</v>
      </c>
      <c r="AQ37" s="57" t="s">
        <v>129</v>
      </c>
      <c r="AV37" s="54">
        <f t="shared" si="16"/>
        <v>0</v>
      </c>
      <c r="AW37" s="54">
        <f t="shared" si="17"/>
        <v>0</v>
      </c>
      <c r="AX37" s="54">
        <f t="shared" si="18"/>
        <v>0</v>
      </c>
      <c r="AY37" s="57" t="s">
        <v>178</v>
      </c>
      <c r="AZ37" s="57" t="s">
        <v>167</v>
      </c>
      <c r="BA37" s="34" t="s">
        <v>114</v>
      </c>
      <c r="BC37" s="54">
        <f t="shared" si="19"/>
        <v>0</v>
      </c>
      <c r="BD37" s="54">
        <f t="shared" si="20"/>
        <v>0</v>
      </c>
      <c r="BE37" s="54">
        <v>0</v>
      </c>
      <c r="BF37" s="54">
        <f>37</f>
        <v>37</v>
      </c>
      <c r="BH37" s="54">
        <f t="shared" si="21"/>
        <v>0</v>
      </c>
      <c r="BI37" s="54">
        <f t="shared" si="22"/>
        <v>0</v>
      </c>
      <c r="BJ37" s="54">
        <f t="shared" si="23"/>
        <v>0</v>
      </c>
      <c r="BK37" s="57" t="s">
        <v>115</v>
      </c>
      <c r="BL37" s="54"/>
      <c r="BW37" s="54">
        <v>21</v>
      </c>
      <c r="BX37" s="3" t="s">
        <v>183</v>
      </c>
    </row>
    <row r="38" spans="1:76" x14ac:dyDescent="0.25">
      <c r="A38" s="1" t="s">
        <v>184</v>
      </c>
      <c r="B38" s="2" t="s">
        <v>185</v>
      </c>
      <c r="C38" s="83" t="s">
        <v>186</v>
      </c>
      <c r="D38" s="78"/>
      <c r="E38" s="2" t="s">
        <v>177</v>
      </c>
      <c r="F38" s="54">
        <f>'Stavební rozpočet'!F38</f>
        <v>7</v>
      </c>
      <c r="G38" s="54">
        <f>'Stavební rozpočet'!G38</f>
        <v>0</v>
      </c>
      <c r="H38" s="54">
        <f t="shared" si="0"/>
        <v>0</v>
      </c>
      <c r="I38" s="54">
        <f t="shared" si="1"/>
        <v>0</v>
      </c>
      <c r="J38" s="54">
        <f t="shared" si="2"/>
        <v>0</v>
      </c>
      <c r="K38" s="56" t="s">
        <v>120</v>
      </c>
      <c r="Z38" s="54">
        <f t="shared" si="3"/>
        <v>0</v>
      </c>
      <c r="AB38" s="54">
        <f t="shared" si="4"/>
        <v>0</v>
      </c>
      <c r="AC38" s="54">
        <f t="shared" si="5"/>
        <v>0</v>
      </c>
      <c r="AD38" s="54">
        <f t="shared" si="6"/>
        <v>0</v>
      </c>
      <c r="AE38" s="54">
        <f t="shared" si="7"/>
        <v>0</v>
      </c>
      <c r="AF38" s="54">
        <f t="shared" si="8"/>
        <v>0</v>
      </c>
      <c r="AG38" s="54">
        <f t="shared" si="9"/>
        <v>0</v>
      </c>
      <c r="AH38" s="54">
        <f t="shared" si="10"/>
        <v>0</v>
      </c>
      <c r="AI38" s="34" t="s">
        <v>107</v>
      </c>
      <c r="AJ38" s="54">
        <f t="shared" si="11"/>
        <v>0</v>
      </c>
      <c r="AK38" s="54">
        <f t="shared" si="12"/>
        <v>0</v>
      </c>
      <c r="AL38" s="54">
        <f t="shared" si="13"/>
        <v>0</v>
      </c>
      <c r="AN38" s="54">
        <v>21</v>
      </c>
      <c r="AO38" s="54">
        <f t="shared" si="14"/>
        <v>0</v>
      </c>
      <c r="AP38" s="54">
        <f t="shared" si="15"/>
        <v>0</v>
      </c>
      <c r="AQ38" s="57" t="s">
        <v>129</v>
      </c>
      <c r="AV38" s="54">
        <f t="shared" si="16"/>
        <v>0</v>
      </c>
      <c r="AW38" s="54">
        <f t="shared" si="17"/>
        <v>0</v>
      </c>
      <c r="AX38" s="54">
        <f t="shared" si="18"/>
        <v>0</v>
      </c>
      <c r="AY38" s="57" t="s">
        <v>178</v>
      </c>
      <c r="AZ38" s="57" t="s">
        <v>167</v>
      </c>
      <c r="BA38" s="34" t="s">
        <v>114</v>
      </c>
      <c r="BC38" s="54">
        <f t="shared" si="19"/>
        <v>0</v>
      </c>
      <c r="BD38" s="54">
        <f t="shared" si="20"/>
        <v>0</v>
      </c>
      <c r="BE38" s="54">
        <v>0</v>
      </c>
      <c r="BF38" s="54">
        <f>38</f>
        <v>38</v>
      </c>
      <c r="BH38" s="54">
        <f t="shared" si="21"/>
        <v>0</v>
      </c>
      <c r="BI38" s="54">
        <f t="shared" si="22"/>
        <v>0</v>
      </c>
      <c r="BJ38" s="54">
        <f t="shared" si="23"/>
        <v>0</v>
      </c>
      <c r="BK38" s="57" t="s">
        <v>115</v>
      </c>
      <c r="BL38" s="54"/>
      <c r="BW38" s="54">
        <v>21</v>
      </c>
      <c r="BX38" s="3" t="s">
        <v>186</v>
      </c>
    </row>
    <row r="39" spans="1:76" x14ac:dyDescent="0.25">
      <c r="A39" s="1" t="s">
        <v>187</v>
      </c>
      <c r="B39" s="2" t="s">
        <v>188</v>
      </c>
      <c r="C39" s="83" t="s">
        <v>189</v>
      </c>
      <c r="D39" s="78"/>
      <c r="E39" s="2" t="s">
        <v>136</v>
      </c>
      <c r="F39" s="54">
        <f>'Stavební rozpočet'!F39</f>
        <v>18.600000000000001</v>
      </c>
      <c r="G39" s="54">
        <f>'Stavební rozpočet'!G39</f>
        <v>0</v>
      </c>
      <c r="H39" s="54">
        <f t="shared" si="0"/>
        <v>0</v>
      </c>
      <c r="I39" s="54">
        <f t="shared" si="1"/>
        <v>0</v>
      </c>
      <c r="J39" s="54">
        <f t="shared" si="2"/>
        <v>0</v>
      </c>
      <c r="K39" s="56" t="s">
        <v>120</v>
      </c>
      <c r="Z39" s="54">
        <f t="shared" si="3"/>
        <v>0</v>
      </c>
      <c r="AB39" s="54">
        <f t="shared" si="4"/>
        <v>0</v>
      </c>
      <c r="AC39" s="54">
        <f t="shared" si="5"/>
        <v>0</v>
      </c>
      <c r="AD39" s="54">
        <f t="shared" si="6"/>
        <v>0</v>
      </c>
      <c r="AE39" s="54">
        <f t="shared" si="7"/>
        <v>0</v>
      </c>
      <c r="AF39" s="54">
        <f t="shared" si="8"/>
        <v>0</v>
      </c>
      <c r="AG39" s="54">
        <f t="shared" si="9"/>
        <v>0</v>
      </c>
      <c r="AH39" s="54">
        <f t="shared" si="10"/>
        <v>0</v>
      </c>
      <c r="AI39" s="34" t="s">
        <v>107</v>
      </c>
      <c r="AJ39" s="54">
        <f t="shared" si="11"/>
        <v>0</v>
      </c>
      <c r="AK39" s="54">
        <f t="shared" si="12"/>
        <v>0</v>
      </c>
      <c r="AL39" s="54">
        <f t="shared" si="13"/>
        <v>0</v>
      </c>
      <c r="AN39" s="54">
        <v>21</v>
      </c>
      <c r="AO39" s="54">
        <f t="shared" si="14"/>
        <v>0</v>
      </c>
      <c r="AP39" s="54">
        <f t="shared" si="15"/>
        <v>0</v>
      </c>
      <c r="AQ39" s="57" t="s">
        <v>129</v>
      </c>
      <c r="AV39" s="54">
        <f t="shared" si="16"/>
        <v>0</v>
      </c>
      <c r="AW39" s="54">
        <f t="shared" si="17"/>
        <v>0</v>
      </c>
      <c r="AX39" s="54">
        <f t="shared" si="18"/>
        <v>0</v>
      </c>
      <c r="AY39" s="57" t="s">
        <v>178</v>
      </c>
      <c r="AZ39" s="57" t="s">
        <v>167</v>
      </c>
      <c r="BA39" s="34" t="s">
        <v>114</v>
      </c>
      <c r="BC39" s="54">
        <f t="shared" si="19"/>
        <v>0</v>
      </c>
      <c r="BD39" s="54">
        <f t="shared" si="20"/>
        <v>0</v>
      </c>
      <c r="BE39" s="54">
        <v>0</v>
      </c>
      <c r="BF39" s="54">
        <f>39</f>
        <v>39</v>
      </c>
      <c r="BH39" s="54">
        <f t="shared" si="21"/>
        <v>0</v>
      </c>
      <c r="BI39" s="54">
        <f t="shared" si="22"/>
        <v>0</v>
      </c>
      <c r="BJ39" s="54">
        <f t="shared" si="23"/>
        <v>0</v>
      </c>
      <c r="BK39" s="57" t="s">
        <v>115</v>
      </c>
      <c r="BL39" s="54"/>
      <c r="BW39" s="54">
        <v>21</v>
      </c>
      <c r="BX39" s="3" t="s">
        <v>189</v>
      </c>
    </row>
    <row r="40" spans="1:76" x14ac:dyDescent="0.25">
      <c r="A40" s="60" t="s">
        <v>4</v>
      </c>
      <c r="B40" s="61" t="s">
        <v>4</v>
      </c>
      <c r="C40" s="167" t="s">
        <v>197</v>
      </c>
      <c r="D40" s="168"/>
      <c r="E40" s="62" t="s">
        <v>69</v>
      </c>
      <c r="F40" s="62" t="s">
        <v>69</v>
      </c>
      <c r="G40" s="62" t="s">
        <v>69</v>
      </c>
      <c r="H40" s="63">
        <f>H41</f>
        <v>0</v>
      </c>
      <c r="I40" s="63">
        <f>I41</f>
        <v>0</v>
      </c>
      <c r="J40" s="63">
        <f>J41</f>
        <v>0</v>
      </c>
      <c r="K40" s="64" t="s">
        <v>4</v>
      </c>
    </row>
    <row r="41" spans="1:76" x14ac:dyDescent="0.25">
      <c r="A41" s="49" t="s">
        <v>4</v>
      </c>
      <c r="B41" s="50" t="s">
        <v>127</v>
      </c>
      <c r="C41" s="161" t="s">
        <v>128</v>
      </c>
      <c r="D41" s="162"/>
      <c r="E41" s="51" t="s">
        <v>69</v>
      </c>
      <c r="F41" s="51" t="s">
        <v>69</v>
      </c>
      <c r="G41" s="51" t="s">
        <v>69</v>
      </c>
      <c r="H41" s="28">
        <f>SUM(H42:H45)</f>
        <v>0</v>
      </c>
      <c r="I41" s="28">
        <f>SUM(I42:I45)</f>
        <v>0</v>
      </c>
      <c r="J41" s="28">
        <f>SUM(J42:J45)</f>
        <v>0</v>
      </c>
      <c r="K41" s="53" t="s">
        <v>4</v>
      </c>
      <c r="AI41" s="34" t="s">
        <v>198</v>
      </c>
      <c r="AS41" s="28">
        <f>SUM(AJ42:AJ45)</f>
        <v>0</v>
      </c>
      <c r="AT41" s="28">
        <f>SUM(AK42:AK45)</f>
        <v>0</v>
      </c>
      <c r="AU41" s="28">
        <f>SUM(AL42:AL45)</f>
        <v>0</v>
      </c>
    </row>
    <row r="42" spans="1:76" x14ac:dyDescent="0.25">
      <c r="A42" s="1" t="s">
        <v>191</v>
      </c>
      <c r="B42" s="2" t="s">
        <v>200</v>
      </c>
      <c r="C42" s="83" t="s">
        <v>201</v>
      </c>
      <c r="D42" s="78"/>
      <c r="E42" s="2" t="s">
        <v>111</v>
      </c>
      <c r="F42" s="54">
        <f>'Stavební rozpočet'!F44</f>
        <v>1</v>
      </c>
      <c r="G42" s="54">
        <f>'Stavební rozpočet'!G44</f>
        <v>0</v>
      </c>
      <c r="H42" s="54">
        <f>ROUND(F42*AO42,2)</f>
        <v>0</v>
      </c>
      <c r="I42" s="54">
        <f>ROUND(F42*AP42,2)</f>
        <v>0</v>
      </c>
      <c r="J42" s="54">
        <f>ROUND(F42*G42,2)</f>
        <v>0</v>
      </c>
      <c r="K42" s="56" t="s">
        <v>4</v>
      </c>
      <c r="Z42" s="54">
        <f>ROUND(IF(AQ42="5",BJ42,0),2)</f>
        <v>0</v>
      </c>
      <c r="AB42" s="54">
        <f>ROUND(IF(AQ42="1",BH42,0),2)</f>
        <v>0</v>
      </c>
      <c r="AC42" s="54">
        <f>ROUND(IF(AQ42="1",BI42,0),2)</f>
        <v>0</v>
      </c>
      <c r="AD42" s="54">
        <f>ROUND(IF(AQ42="7",BH42,0),2)</f>
        <v>0</v>
      </c>
      <c r="AE42" s="54">
        <f>ROUND(IF(AQ42="7",BI42,0),2)</f>
        <v>0</v>
      </c>
      <c r="AF42" s="54">
        <f>ROUND(IF(AQ42="2",BH42,0),2)</f>
        <v>0</v>
      </c>
      <c r="AG42" s="54">
        <f>ROUND(IF(AQ42="2",BI42,0),2)</f>
        <v>0</v>
      </c>
      <c r="AH42" s="54">
        <f>ROUND(IF(AQ42="0",BJ42,0),2)</f>
        <v>0</v>
      </c>
      <c r="AI42" s="34" t="s">
        <v>198</v>
      </c>
      <c r="AJ42" s="54">
        <f>IF(AN42=0,J42,0)</f>
        <v>0</v>
      </c>
      <c r="AK42" s="54">
        <f>IF(AN42=0,J42,0)</f>
        <v>0</v>
      </c>
      <c r="AL42" s="54">
        <f>IF(AN42=21,J42,0)</f>
        <v>0</v>
      </c>
      <c r="AN42" s="54">
        <v>21</v>
      </c>
      <c r="AO42" s="54">
        <f>G42*0</f>
        <v>0</v>
      </c>
      <c r="AP42" s="54">
        <f>G42*(1-0)</f>
        <v>0</v>
      </c>
      <c r="AQ42" s="57" t="s">
        <v>108</v>
      </c>
      <c r="AV42" s="54">
        <f>ROUND(AW42+AX42,2)</f>
        <v>0</v>
      </c>
      <c r="AW42" s="54">
        <f>ROUND(F42*AO42,2)</f>
        <v>0</v>
      </c>
      <c r="AX42" s="54">
        <f>ROUND(F42*AP42,2)</f>
        <v>0</v>
      </c>
      <c r="AY42" s="57" t="s">
        <v>132</v>
      </c>
      <c r="AZ42" s="57" t="s">
        <v>202</v>
      </c>
      <c r="BA42" s="34" t="s">
        <v>203</v>
      </c>
      <c r="BC42" s="54">
        <f>AW42+AX42</f>
        <v>0</v>
      </c>
      <c r="BD42" s="54">
        <f>G42/(100-BE42)*100</f>
        <v>0</v>
      </c>
      <c r="BE42" s="54">
        <v>0</v>
      </c>
      <c r="BF42" s="54">
        <f>42</f>
        <v>42</v>
      </c>
      <c r="BH42" s="54">
        <f>F42*AO42</f>
        <v>0</v>
      </c>
      <c r="BI42" s="54">
        <f>F42*AP42</f>
        <v>0</v>
      </c>
      <c r="BJ42" s="54">
        <f>F42*G42</f>
        <v>0</v>
      </c>
      <c r="BK42" s="57" t="s">
        <v>115</v>
      </c>
      <c r="BL42" s="54">
        <v>11</v>
      </c>
      <c r="BW42" s="54">
        <v>21</v>
      </c>
      <c r="BX42" s="3" t="s">
        <v>201</v>
      </c>
    </row>
    <row r="43" spans="1:76" x14ac:dyDescent="0.25">
      <c r="A43" s="1" t="s">
        <v>199</v>
      </c>
      <c r="B43" s="2" t="s">
        <v>205</v>
      </c>
      <c r="C43" s="83" t="s">
        <v>206</v>
      </c>
      <c r="D43" s="78"/>
      <c r="E43" s="2" t="s">
        <v>111</v>
      </c>
      <c r="F43" s="54">
        <f>'Stavební rozpočet'!F45</f>
        <v>1</v>
      </c>
      <c r="G43" s="54">
        <f>'Stavební rozpočet'!G45</f>
        <v>0</v>
      </c>
      <c r="H43" s="54">
        <f>ROUND(F43*AO43,2)</f>
        <v>0</v>
      </c>
      <c r="I43" s="54">
        <f>ROUND(F43*AP43,2)</f>
        <v>0</v>
      </c>
      <c r="J43" s="54">
        <f>ROUND(F43*G43,2)</f>
        <v>0</v>
      </c>
      <c r="K43" s="56" t="s">
        <v>4</v>
      </c>
      <c r="Z43" s="54">
        <f>ROUND(IF(AQ43="5",BJ43,0),2)</f>
        <v>0</v>
      </c>
      <c r="AB43" s="54">
        <f>ROUND(IF(AQ43="1",BH43,0),2)</f>
        <v>0</v>
      </c>
      <c r="AC43" s="54">
        <f>ROUND(IF(AQ43="1",BI43,0),2)</f>
        <v>0</v>
      </c>
      <c r="AD43" s="54">
        <f>ROUND(IF(AQ43="7",BH43,0),2)</f>
        <v>0</v>
      </c>
      <c r="AE43" s="54">
        <f>ROUND(IF(AQ43="7",BI43,0),2)</f>
        <v>0</v>
      </c>
      <c r="AF43" s="54">
        <f>ROUND(IF(AQ43="2",BH43,0),2)</f>
        <v>0</v>
      </c>
      <c r="AG43" s="54">
        <f>ROUND(IF(AQ43="2",BI43,0),2)</f>
        <v>0</v>
      </c>
      <c r="AH43" s="54">
        <f>ROUND(IF(AQ43="0",BJ43,0),2)</f>
        <v>0</v>
      </c>
      <c r="AI43" s="34" t="s">
        <v>198</v>
      </c>
      <c r="AJ43" s="54">
        <f>IF(AN43=0,J43,0)</f>
        <v>0</v>
      </c>
      <c r="AK43" s="54">
        <f>IF(AN43=0,J43,0)</f>
        <v>0</v>
      </c>
      <c r="AL43" s="54">
        <f>IF(AN43=21,J43,0)</f>
        <v>0</v>
      </c>
      <c r="AN43" s="54">
        <v>21</v>
      </c>
      <c r="AO43" s="54">
        <f>G43*0</f>
        <v>0</v>
      </c>
      <c r="AP43" s="54">
        <f>G43*(1-0)</f>
        <v>0</v>
      </c>
      <c r="AQ43" s="57" t="s">
        <v>108</v>
      </c>
      <c r="AV43" s="54">
        <f>ROUND(AW43+AX43,2)</f>
        <v>0</v>
      </c>
      <c r="AW43" s="54">
        <f>ROUND(F43*AO43,2)</f>
        <v>0</v>
      </c>
      <c r="AX43" s="54">
        <f>ROUND(F43*AP43,2)</f>
        <v>0</v>
      </c>
      <c r="AY43" s="57" t="s">
        <v>132</v>
      </c>
      <c r="AZ43" s="57" t="s">
        <v>202</v>
      </c>
      <c r="BA43" s="34" t="s">
        <v>203</v>
      </c>
      <c r="BC43" s="54">
        <f>AW43+AX43</f>
        <v>0</v>
      </c>
      <c r="BD43" s="54">
        <f>G43/(100-BE43)*100</f>
        <v>0</v>
      </c>
      <c r="BE43" s="54">
        <v>0</v>
      </c>
      <c r="BF43" s="54">
        <f>43</f>
        <v>43</v>
      </c>
      <c r="BH43" s="54">
        <f>F43*AO43</f>
        <v>0</v>
      </c>
      <c r="BI43" s="54">
        <f>F43*AP43</f>
        <v>0</v>
      </c>
      <c r="BJ43" s="54">
        <f>F43*G43</f>
        <v>0</v>
      </c>
      <c r="BK43" s="57" t="s">
        <v>115</v>
      </c>
      <c r="BL43" s="54">
        <v>11</v>
      </c>
      <c r="BW43" s="54">
        <v>21</v>
      </c>
      <c r="BX43" s="3" t="s">
        <v>206</v>
      </c>
    </row>
    <row r="44" spans="1:76" x14ac:dyDescent="0.25">
      <c r="A44" s="1" t="s">
        <v>204</v>
      </c>
      <c r="B44" s="2" t="s">
        <v>216</v>
      </c>
      <c r="C44" s="83" t="s">
        <v>217</v>
      </c>
      <c r="D44" s="78"/>
      <c r="E44" s="2" t="s">
        <v>210</v>
      </c>
      <c r="F44" s="54">
        <f>'Stavební rozpočet'!F48</f>
        <v>263</v>
      </c>
      <c r="G44" s="54">
        <f>'Stavební rozpočet'!G48</f>
        <v>0</v>
      </c>
      <c r="H44" s="54">
        <f>ROUND(F44*AO44,2)</f>
        <v>0</v>
      </c>
      <c r="I44" s="54">
        <f>ROUND(F44*AP44,2)</f>
        <v>0</v>
      </c>
      <c r="J44" s="54">
        <f>ROUND(F44*G44,2)</f>
        <v>0</v>
      </c>
      <c r="K44" s="56" t="s">
        <v>4</v>
      </c>
      <c r="Z44" s="54">
        <f>ROUND(IF(AQ44="5",BJ44,0),2)</f>
        <v>0</v>
      </c>
      <c r="AB44" s="54">
        <f>ROUND(IF(AQ44="1",BH44,0),2)</f>
        <v>0</v>
      </c>
      <c r="AC44" s="54">
        <f>ROUND(IF(AQ44="1",BI44,0),2)</f>
        <v>0</v>
      </c>
      <c r="AD44" s="54">
        <f>ROUND(IF(AQ44="7",BH44,0),2)</f>
        <v>0</v>
      </c>
      <c r="AE44" s="54">
        <f>ROUND(IF(AQ44="7",BI44,0),2)</f>
        <v>0</v>
      </c>
      <c r="AF44" s="54">
        <f>ROUND(IF(AQ44="2",BH44,0),2)</f>
        <v>0</v>
      </c>
      <c r="AG44" s="54">
        <f>ROUND(IF(AQ44="2",BI44,0),2)</f>
        <v>0</v>
      </c>
      <c r="AH44" s="54">
        <f>ROUND(IF(AQ44="0",BJ44,0),2)</f>
        <v>0</v>
      </c>
      <c r="AI44" s="34" t="s">
        <v>198</v>
      </c>
      <c r="AJ44" s="54">
        <f>IF(AN44=0,J44,0)</f>
        <v>0</v>
      </c>
      <c r="AK44" s="54">
        <f>IF(AN44=0,J44,0)</f>
        <v>0</v>
      </c>
      <c r="AL44" s="54">
        <f>IF(AN44=21,J44,0)</f>
        <v>0</v>
      </c>
      <c r="AN44" s="54">
        <v>21</v>
      </c>
      <c r="AO44" s="54">
        <f>G44*0</f>
        <v>0</v>
      </c>
      <c r="AP44" s="54">
        <f>G44*(1-0)</f>
        <v>0</v>
      </c>
      <c r="AQ44" s="57" t="s">
        <v>108</v>
      </c>
      <c r="AV44" s="54">
        <f>ROUND(AW44+AX44,2)</f>
        <v>0</v>
      </c>
      <c r="AW44" s="54">
        <f>ROUND(F44*AO44,2)</f>
        <v>0</v>
      </c>
      <c r="AX44" s="54">
        <f>ROUND(F44*AP44,2)</f>
        <v>0</v>
      </c>
      <c r="AY44" s="57" t="s">
        <v>132</v>
      </c>
      <c r="AZ44" s="57" t="s">
        <v>202</v>
      </c>
      <c r="BA44" s="34" t="s">
        <v>203</v>
      </c>
      <c r="BC44" s="54">
        <f>AW44+AX44</f>
        <v>0</v>
      </c>
      <c r="BD44" s="54">
        <f>G44/(100-BE44)*100</f>
        <v>0</v>
      </c>
      <c r="BE44" s="54">
        <v>0</v>
      </c>
      <c r="BF44" s="54">
        <f>44</f>
        <v>44</v>
      </c>
      <c r="BH44" s="54">
        <f>F44*AO44</f>
        <v>0</v>
      </c>
      <c r="BI44" s="54">
        <f>F44*AP44</f>
        <v>0</v>
      </c>
      <c r="BJ44" s="54">
        <f>F44*G44</f>
        <v>0</v>
      </c>
      <c r="BK44" s="57" t="s">
        <v>115</v>
      </c>
      <c r="BL44" s="54">
        <v>11</v>
      </c>
      <c r="BW44" s="54">
        <v>21</v>
      </c>
      <c r="BX44" s="3" t="s">
        <v>217</v>
      </c>
    </row>
    <row r="45" spans="1:76" x14ac:dyDescent="0.25">
      <c r="A45" s="1" t="s">
        <v>207</v>
      </c>
      <c r="B45" s="2" t="s">
        <v>219</v>
      </c>
      <c r="C45" s="83" t="s">
        <v>220</v>
      </c>
      <c r="D45" s="78"/>
      <c r="E45" s="2" t="s">
        <v>136</v>
      </c>
      <c r="F45" s="54">
        <f>'Stavební rozpočet'!F49</f>
        <v>4.99</v>
      </c>
      <c r="G45" s="54">
        <f>'Stavební rozpočet'!G49</f>
        <v>0</v>
      </c>
      <c r="H45" s="54">
        <f>ROUND(F45*AO45,2)</f>
        <v>0</v>
      </c>
      <c r="I45" s="54">
        <f>ROUND(F45*AP45,2)</f>
        <v>0</v>
      </c>
      <c r="J45" s="54">
        <f>ROUND(F45*G45,2)</f>
        <v>0</v>
      </c>
      <c r="K45" s="56" t="s">
        <v>120</v>
      </c>
      <c r="Z45" s="54">
        <f>ROUND(IF(AQ45="5",BJ45,0),2)</f>
        <v>0</v>
      </c>
      <c r="AB45" s="54">
        <f>ROUND(IF(AQ45="1",BH45,0),2)</f>
        <v>0</v>
      </c>
      <c r="AC45" s="54">
        <f>ROUND(IF(AQ45="1",BI45,0),2)</f>
        <v>0</v>
      </c>
      <c r="AD45" s="54">
        <f>ROUND(IF(AQ45="7",BH45,0),2)</f>
        <v>0</v>
      </c>
      <c r="AE45" s="54">
        <f>ROUND(IF(AQ45="7",BI45,0),2)</f>
        <v>0</v>
      </c>
      <c r="AF45" s="54">
        <f>ROUND(IF(AQ45="2",BH45,0),2)</f>
        <v>0</v>
      </c>
      <c r="AG45" s="54">
        <f>ROUND(IF(AQ45="2",BI45,0),2)</f>
        <v>0</v>
      </c>
      <c r="AH45" s="54">
        <f>ROUND(IF(AQ45="0",BJ45,0),2)</f>
        <v>0</v>
      </c>
      <c r="AI45" s="34" t="s">
        <v>198</v>
      </c>
      <c r="AJ45" s="54">
        <f>IF(AN45=0,J45,0)</f>
        <v>0</v>
      </c>
      <c r="AK45" s="54">
        <f>IF(AN45=0,J45,0)</f>
        <v>0</v>
      </c>
      <c r="AL45" s="54">
        <f>IF(AN45=21,J45,0)</f>
        <v>0</v>
      </c>
      <c r="AN45" s="54">
        <v>21</v>
      </c>
      <c r="AO45" s="54">
        <f>G45*0</f>
        <v>0</v>
      </c>
      <c r="AP45" s="54">
        <f>G45*(1-0)</f>
        <v>0</v>
      </c>
      <c r="AQ45" s="57" t="s">
        <v>129</v>
      </c>
      <c r="AV45" s="54">
        <f>ROUND(AW45+AX45,2)</f>
        <v>0</v>
      </c>
      <c r="AW45" s="54">
        <f>ROUND(F45*AO45,2)</f>
        <v>0</v>
      </c>
      <c r="AX45" s="54">
        <f>ROUND(F45*AP45,2)</f>
        <v>0</v>
      </c>
      <c r="AY45" s="57" t="s">
        <v>132</v>
      </c>
      <c r="AZ45" s="57" t="s">
        <v>202</v>
      </c>
      <c r="BA45" s="34" t="s">
        <v>203</v>
      </c>
      <c r="BC45" s="54">
        <f>AW45+AX45</f>
        <v>0</v>
      </c>
      <c r="BD45" s="54">
        <f>G45/(100-BE45)*100</f>
        <v>0</v>
      </c>
      <c r="BE45" s="54">
        <v>0</v>
      </c>
      <c r="BF45" s="54">
        <f>45</f>
        <v>45</v>
      </c>
      <c r="BH45" s="54">
        <f>F45*AO45</f>
        <v>0</v>
      </c>
      <c r="BI45" s="54">
        <f>F45*AP45</f>
        <v>0</v>
      </c>
      <c r="BJ45" s="54">
        <f>F45*G45</f>
        <v>0</v>
      </c>
      <c r="BK45" s="57" t="s">
        <v>115</v>
      </c>
      <c r="BL45" s="54">
        <v>11</v>
      </c>
      <c r="BW45" s="54">
        <v>21</v>
      </c>
      <c r="BX45" s="3" t="s">
        <v>220</v>
      </c>
    </row>
    <row r="46" spans="1:76" x14ac:dyDescent="0.25">
      <c r="A46" s="60" t="s">
        <v>4</v>
      </c>
      <c r="B46" s="61" t="s">
        <v>4</v>
      </c>
      <c r="C46" s="167" t="s">
        <v>221</v>
      </c>
      <c r="D46" s="168"/>
      <c r="E46" s="62" t="s">
        <v>69</v>
      </c>
      <c r="F46" s="62" t="s">
        <v>69</v>
      </c>
      <c r="G46" s="62" t="s">
        <v>69</v>
      </c>
      <c r="H46" s="63">
        <f>H47+H49+H58</f>
        <v>0</v>
      </c>
      <c r="I46" s="63">
        <f>I47+I49+I58</f>
        <v>0</v>
      </c>
      <c r="J46" s="63">
        <f>J47+J49+J58</f>
        <v>0</v>
      </c>
      <c r="K46" s="64" t="s">
        <v>4</v>
      </c>
    </row>
    <row r="47" spans="1:76" x14ac:dyDescent="0.25">
      <c r="A47" s="49" t="s">
        <v>4</v>
      </c>
      <c r="B47" s="50" t="s">
        <v>222</v>
      </c>
      <c r="C47" s="161" t="s">
        <v>223</v>
      </c>
      <c r="D47" s="162"/>
      <c r="E47" s="51" t="s">
        <v>69</v>
      </c>
      <c r="F47" s="51" t="s">
        <v>69</v>
      </c>
      <c r="G47" s="51" t="s">
        <v>69</v>
      </c>
      <c r="H47" s="28">
        <f>SUM(H48:H48)</f>
        <v>0</v>
      </c>
      <c r="I47" s="28">
        <f>SUM(I48:I48)</f>
        <v>0</v>
      </c>
      <c r="J47" s="28">
        <f>SUM(J48:J48)</f>
        <v>0</v>
      </c>
      <c r="K47" s="53" t="s">
        <v>4</v>
      </c>
      <c r="AI47" s="34" t="s">
        <v>224</v>
      </c>
      <c r="AS47" s="28">
        <f>SUM(AJ48:AJ48)</f>
        <v>0</v>
      </c>
      <c r="AT47" s="28">
        <f>SUM(AK48:AK48)</f>
        <v>0</v>
      </c>
      <c r="AU47" s="28">
        <f>SUM(AL48:AL48)</f>
        <v>0</v>
      </c>
    </row>
    <row r="48" spans="1:76" x14ac:dyDescent="0.25">
      <c r="A48" s="1" t="s">
        <v>211</v>
      </c>
      <c r="B48" s="2" t="s">
        <v>226</v>
      </c>
      <c r="C48" s="83" t="s">
        <v>227</v>
      </c>
      <c r="D48" s="78"/>
      <c r="E48" s="2" t="s">
        <v>228</v>
      </c>
      <c r="F48" s="54">
        <f>'Stavební rozpočet'!F52</f>
        <v>3</v>
      </c>
      <c r="G48" s="54">
        <f>'Stavební rozpočet'!G52</f>
        <v>0</v>
      </c>
      <c r="H48" s="54">
        <f>ROUND(F48*AO48,2)</f>
        <v>0</v>
      </c>
      <c r="I48" s="54">
        <f>ROUND(F48*AP48,2)</f>
        <v>0</v>
      </c>
      <c r="J48" s="54">
        <f>ROUND(F48*G48,2)</f>
        <v>0</v>
      </c>
      <c r="K48" s="56" t="s">
        <v>120</v>
      </c>
      <c r="Z48" s="54">
        <f>ROUND(IF(AQ48="5",BJ48,0),2)</f>
        <v>0</v>
      </c>
      <c r="AB48" s="54">
        <f>ROUND(IF(AQ48="1",BH48,0),2)</f>
        <v>0</v>
      </c>
      <c r="AC48" s="54">
        <f>ROUND(IF(AQ48="1",BI48,0),2)</f>
        <v>0</v>
      </c>
      <c r="AD48" s="54">
        <f>ROUND(IF(AQ48="7",BH48,0),2)</f>
        <v>0</v>
      </c>
      <c r="AE48" s="54">
        <f>ROUND(IF(AQ48="7",BI48,0),2)</f>
        <v>0</v>
      </c>
      <c r="AF48" s="54">
        <f>ROUND(IF(AQ48="2",BH48,0),2)</f>
        <v>0</v>
      </c>
      <c r="AG48" s="54">
        <f>ROUND(IF(AQ48="2",BI48,0),2)</f>
        <v>0</v>
      </c>
      <c r="AH48" s="54">
        <f>ROUND(IF(AQ48="0",BJ48,0),2)</f>
        <v>0</v>
      </c>
      <c r="AI48" s="34" t="s">
        <v>224</v>
      </c>
      <c r="AJ48" s="54">
        <f>IF(AN48=0,J48,0)</f>
        <v>0</v>
      </c>
      <c r="AK48" s="54">
        <f>IF(AN48=0,J48,0)</f>
        <v>0</v>
      </c>
      <c r="AL48" s="54">
        <f>IF(AN48=21,J48,0)</f>
        <v>0</v>
      </c>
      <c r="AN48" s="54">
        <v>21</v>
      </c>
      <c r="AO48" s="54">
        <f>G48*0</f>
        <v>0</v>
      </c>
      <c r="AP48" s="54">
        <f>G48*(1-0)</f>
        <v>0</v>
      </c>
      <c r="AQ48" s="57" t="s">
        <v>108</v>
      </c>
      <c r="AV48" s="54">
        <f>ROUND(AW48+AX48,2)</f>
        <v>0</v>
      </c>
      <c r="AW48" s="54">
        <f>ROUND(F48*AO48,2)</f>
        <v>0</v>
      </c>
      <c r="AX48" s="54">
        <f>ROUND(F48*AP48,2)</f>
        <v>0</v>
      </c>
      <c r="AY48" s="57" t="s">
        <v>229</v>
      </c>
      <c r="AZ48" s="57" t="s">
        <v>230</v>
      </c>
      <c r="BA48" s="34" t="s">
        <v>231</v>
      </c>
      <c r="BC48" s="54">
        <f>AW48+AX48</f>
        <v>0</v>
      </c>
      <c r="BD48" s="54">
        <f>G48/(100-BE48)*100</f>
        <v>0</v>
      </c>
      <c r="BE48" s="54">
        <v>0</v>
      </c>
      <c r="BF48" s="54">
        <f>48</f>
        <v>48</v>
      </c>
      <c r="BH48" s="54">
        <f>F48*AO48</f>
        <v>0</v>
      </c>
      <c r="BI48" s="54">
        <f>F48*AP48</f>
        <v>0</v>
      </c>
      <c r="BJ48" s="54">
        <f>F48*G48</f>
        <v>0</v>
      </c>
      <c r="BK48" s="57" t="s">
        <v>115</v>
      </c>
      <c r="BL48" s="54">
        <v>111</v>
      </c>
      <c r="BW48" s="54">
        <v>21</v>
      </c>
      <c r="BX48" s="3" t="s">
        <v>227</v>
      </c>
    </row>
    <row r="49" spans="1:76" x14ac:dyDescent="0.25">
      <c r="A49" s="49" t="s">
        <v>4</v>
      </c>
      <c r="B49" s="50" t="s">
        <v>182</v>
      </c>
      <c r="C49" s="161" t="s">
        <v>232</v>
      </c>
      <c r="D49" s="162"/>
      <c r="E49" s="51" t="s">
        <v>69</v>
      </c>
      <c r="F49" s="51" t="s">
        <v>69</v>
      </c>
      <c r="G49" s="51" t="s">
        <v>69</v>
      </c>
      <c r="H49" s="28">
        <f>SUM(H50:H57)</f>
        <v>0</v>
      </c>
      <c r="I49" s="28">
        <f>SUM(I50:I57)</f>
        <v>0</v>
      </c>
      <c r="J49" s="28">
        <f>SUM(J50:J57)</f>
        <v>0</v>
      </c>
      <c r="K49" s="53" t="s">
        <v>4</v>
      </c>
      <c r="AI49" s="34" t="s">
        <v>224</v>
      </c>
      <c r="AS49" s="28">
        <f>SUM(AJ50:AJ57)</f>
        <v>0</v>
      </c>
      <c r="AT49" s="28">
        <f>SUM(AK50:AK57)</f>
        <v>0</v>
      </c>
      <c r="AU49" s="28">
        <f>SUM(AL50:AL57)</f>
        <v>0</v>
      </c>
    </row>
    <row r="50" spans="1:76" x14ac:dyDescent="0.25">
      <c r="A50" s="1" t="s">
        <v>215</v>
      </c>
      <c r="B50" s="2" t="s">
        <v>234</v>
      </c>
      <c r="C50" s="83" t="s">
        <v>235</v>
      </c>
      <c r="D50" s="78"/>
      <c r="E50" s="2" t="s">
        <v>111</v>
      </c>
      <c r="F50" s="54">
        <f>'Stavební rozpočet'!F54</f>
        <v>3</v>
      </c>
      <c r="G50" s="54">
        <f>'Stavební rozpočet'!G54</f>
        <v>0</v>
      </c>
      <c r="H50" s="54">
        <f t="shared" ref="H50:H57" si="24">ROUND(F50*AO50,2)</f>
        <v>0</v>
      </c>
      <c r="I50" s="54">
        <f t="shared" ref="I50:I57" si="25">ROUND(F50*AP50,2)</f>
        <v>0</v>
      </c>
      <c r="J50" s="54">
        <f t="shared" ref="J50:J57" si="26">ROUND(F50*G50,2)</f>
        <v>0</v>
      </c>
      <c r="K50" s="56" t="s">
        <v>120</v>
      </c>
      <c r="Z50" s="54">
        <f t="shared" ref="Z50:Z57" si="27">ROUND(IF(AQ50="5",BJ50,0),2)</f>
        <v>0</v>
      </c>
      <c r="AB50" s="54">
        <f t="shared" ref="AB50:AB57" si="28">ROUND(IF(AQ50="1",BH50,0),2)</f>
        <v>0</v>
      </c>
      <c r="AC50" s="54">
        <f t="shared" ref="AC50:AC57" si="29">ROUND(IF(AQ50="1",BI50,0),2)</f>
        <v>0</v>
      </c>
      <c r="AD50" s="54">
        <f t="shared" ref="AD50:AD57" si="30">ROUND(IF(AQ50="7",BH50,0),2)</f>
        <v>0</v>
      </c>
      <c r="AE50" s="54">
        <f t="shared" ref="AE50:AE57" si="31">ROUND(IF(AQ50="7",BI50,0),2)</f>
        <v>0</v>
      </c>
      <c r="AF50" s="54">
        <f t="shared" ref="AF50:AF57" si="32">ROUND(IF(AQ50="2",BH50,0),2)</f>
        <v>0</v>
      </c>
      <c r="AG50" s="54">
        <f t="shared" ref="AG50:AG57" si="33">ROUND(IF(AQ50="2",BI50,0),2)</f>
        <v>0</v>
      </c>
      <c r="AH50" s="54">
        <f t="shared" ref="AH50:AH57" si="34">ROUND(IF(AQ50="0",BJ50,0),2)</f>
        <v>0</v>
      </c>
      <c r="AI50" s="34" t="s">
        <v>224</v>
      </c>
      <c r="AJ50" s="54">
        <f t="shared" ref="AJ50:AJ57" si="35">IF(AN50=0,J50,0)</f>
        <v>0</v>
      </c>
      <c r="AK50" s="54">
        <f t="shared" ref="AK50:AK57" si="36">IF(AN50=0,J50,0)</f>
        <v>0</v>
      </c>
      <c r="AL50" s="54">
        <f t="shared" ref="AL50:AL57" si="37">IF(AN50=21,J50,0)</f>
        <v>0</v>
      </c>
      <c r="AN50" s="54">
        <v>21</v>
      </c>
      <c r="AO50" s="54">
        <f>G50*0</f>
        <v>0</v>
      </c>
      <c r="AP50" s="54">
        <f>G50*(1-0)</f>
        <v>0</v>
      </c>
      <c r="AQ50" s="57" t="s">
        <v>108</v>
      </c>
      <c r="AV50" s="54">
        <f t="shared" ref="AV50:AV57" si="38">ROUND(AW50+AX50,2)</f>
        <v>0</v>
      </c>
      <c r="AW50" s="54">
        <f t="shared" ref="AW50:AW57" si="39">ROUND(F50*AO50,2)</f>
        <v>0</v>
      </c>
      <c r="AX50" s="54">
        <f t="shared" ref="AX50:AX57" si="40">ROUND(F50*AP50,2)</f>
        <v>0</v>
      </c>
      <c r="AY50" s="57" t="s">
        <v>236</v>
      </c>
      <c r="AZ50" s="57" t="s">
        <v>230</v>
      </c>
      <c r="BA50" s="34" t="s">
        <v>231</v>
      </c>
      <c r="BC50" s="54">
        <f t="shared" ref="BC50:BC57" si="41">AW50+AX50</f>
        <v>0</v>
      </c>
      <c r="BD50" s="54">
        <f t="shared" ref="BD50:BD57" si="42">G50/(100-BE50)*100</f>
        <v>0</v>
      </c>
      <c r="BE50" s="54">
        <v>0</v>
      </c>
      <c r="BF50" s="54">
        <f>50</f>
        <v>50</v>
      </c>
      <c r="BH50" s="54">
        <f t="shared" ref="BH50:BH57" si="43">F50*AO50</f>
        <v>0</v>
      </c>
      <c r="BI50" s="54">
        <f t="shared" ref="BI50:BI57" si="44">F50*AP50</f>
        <v>0</v>
      </c>
      <c r="BJ50" s="54">
        <f t="shared" ref="BJ50:BJ57" si="45">F50*G50</f>
        <v>0</v>
      </c>
      <c r="BK50" s="57" t="s">
        <v>115</v>
      </c>
      <c r="BL50" s="54">
        <v>18</v>
      </c>
      <c r="BW50" s="54">
        <v>21</v>
      </c>
      <c r="BX50" s="3" t="s">
        <v>235</v>
      </c>
    </row>
    <row r="51" spans="1:76" x14ac:dyDescent="0.25">
      <c r="A51" s="1" t="s">
        <v>218</v>
      </c>
      <c r="B51" s="2" t="s">
        <v>238</v>
      </c>
      <c r="C51" s="83" t="s">
        <v>239</v>
      </c>
      <c r="D51" s="78"/>
      <c r="E51" s="2" t="s">
        <v>177</v>
      </c>
      <c r="F51" s="54">
        <f>'Stavební rozpočet'!F55</f>
        <v>4.88</v>
      </c>
      <c r="G51" s="54">
        <f>'Stavební rozpočet'!G55</f>
        <v>0</v>
      </c>
      <c r="H51" s="54">
        <f t="shared" si="24"/>
        <v>0</v>
      </c>
      <c r="I51" s="54">
        <f t="shared" si="25"/>
        <v>0</v>
      </c>
      <c r="J51" s="54">
        <f t="shared" si="26"/>
        <v>0</v>
      </c>
      <c r="K51" s="56" t="s">
        <v>4</v>
      </c>
      <c r="Z51" s="54">
        <f t="shared" si="27"/>
        <v>0</v>
      </c>
      <c r="AB51" s="54">
        <f t="shared" si="28"/>
        <v>0</v>
      </c>
      <c r="AC51" s="54">
        <f t="shared" si="29"/>
        <v>0</v>
      </c>
      <c r="AD51" s="54">
        <f t="shared" si="30"/>
        <v>0</v>
      </c>
      <c r="AE51" s="54">
        <f t="shared" si="31"/>
        <v>0</v>
      </c>
      <c r="AF51" s="54">
        <f t="shared" si="32"/>
        <v>0</v>
      </c>
      <c r="AG51" s="54">
        <f t="shared" si="33"/>
        <v>0</v>
      </c>
      <c r="AH51" s="54">
        <f t="shared" si="34"/>
        <v>0</v>
      </c>
      <c r="AI51" s="34" t="s">
        <v>224</v>
      </c>
      <c r="AJ51" s="54">
        <f t="shared" si="35"/>
        <v>0</v>
      </c>
      <c r="AK51" s="54">
        <f t="shared" si="36"/>
        <v>0</v>
      </c>
      <c r="AL51" s="54">
        <f t="shared" si="37"/>
        <v>0</v>
      </c>
      <c r="AN51" s="54">
        <v>21</v>
      </c>
      <c r="AO51" s="54">
        <f>G51*0</f>
        <v>0</v>
      </c>
      <c r="AP51" s="54">
        <f>G51*(1-0)</f>
        <v>0</v>
      </c>
      <c r="AQ51" s="57" t="s">
        <v>108</v>
      </c>
      <c r="AV51" s="54">
        <f t="shared" si="38"/>
        <v>0</v>
      </c>
      <c r="AW51" s="54">
        <f t="shared" si="39"/>
        <v>0</v>
      </c>
      <c r="AX51" s="54">
        <f t="shared" si="40"/>
        <v>0</v>
      </c>
      <c r="AY51" s="57" t="s">
        <v>236</v>
      </c>
      <c r="AZ51" s="57" t="s">
        <v>230</v>
      </c>
      <c r="BA51" s="34" t="s">
        <v>231</v>
      </c>
      <c r="BC51" s="54">
        <f t="shared" si="41"/>
        <v>0</v>
      </c>
      <c r="BD51" s="54">
        <f t="shared" si="42"/>
        <v>0</v>
      </c>
      <c r="BE51" s="54">
        <v>0</v>
      </c>
      <c r="BF51" s="54">
        <f>51</f>
        <v>51</v>
      </c>
      <c r="BH51" s="54">
        <f t="shared" si="43"/>
        <v>0</v>
      </c>
      <c r="BI51" s="54">
        <f t="shared" si="44"/>
        <v>0</v>
      </c>
      <c r="BJ51" s="54">
        <f t="shared" si="45"/>
        <v>0</v>
      </c>
      <c r="BK51" s="57" t="s">
        <v>115</v>
      </c>
      <c r="BL51" s="54">
        <v>18</v>
      </c>
      <c r="BW51" s="54">
        <v>21</v>
      </c>
      <c r="BX51" s="3" t="s">
        <v>239</v>
      </c>
    </row>
    <row r="52" spans="1:76" x14ac:dyDescent="0.25">
      <c r="A52" s="1" t="s">
        <v>225</v>
      </c>
      <c r="B52" s="2" t="s">
        <v>241</v>
      </c>
      <c r="C52" s="83" t="s">
        <v>242</v>
      </c>
      <c r="D52" s="78"/>
      <c r="E52" s="2" t="s">
        <v>177</v>
      </c>
      <c r="F52" s="54">
        <f>'Stavební rozpočet'!F56</f>
        <v>4.88</v>
      </c>
      <c r="G52" s="54">
        <f>'Stavební rozpočet'!G56</f>
        <v>0</v>
      </c>
      <c r="H52" s="54">
        <f t="shared" si="24"/>
        <v>0</v>
      </c>
      <c r="I52" s="54">
        <f t="shared" si="25"/>
        <v>0</v>
      </c>
      <c r="J52" s="54">
        <f t="shared" si="26"/>
        <v>0</v>
      </c>
      <c r="K52" s="56" t="s">
        <v>120</v>
      </c>
      <c r="Z52" s="54">
        <f t="shared" si="27"/>
        <v>0</v>
      </c>
      <c r="AB52" s="54">
        <f t="shared" si="28"/>
        <v>0</v>
      </c>
      <c r="AC52" s="54">
        <f t="shared" si="29"/>
        <v>0</v>
      </c>
      <c r="AD52" s="54">
        <f t="shared" si="30"/>
        <v>0</v>
      </c>
      <c r="AE52" s="54">
        <f t="shared" si="31"/>
        <v>0</v>
      </c>
      <c r="AF52" s="54">
        <f t="shared" si="32"/>
        <v>0</v>
      </c>
      <c r="AG52" s="54">
        <f t="shared" si="33"/>
        <v>0</v>
      </c>
      <c r="AH52" s="54">
        <f t="shared" si="34"/>
        <v>0</v>
      </c>
      <c r="AI52" s="34" t="s">
        <v>224</v>
      </c>
      <c r="AJ52" s="54">
        <f t="shared" si="35"/>
        <v>0</v>
      </c>
      <c r="AK52" s="54">
        <f t="shared" si="36"/>
        <v>0</v>
      </c>
      <c r="AL52" s="54">
        <f t="shared" si="37"/>
        <v>0</v>
      </c>
      <c r="AN52" s="54">
        <v>21</v>
      </c>
      <c r="AO52" s="54">
        <f>G52*0</f>
        <v>0</v>
      </c>
      <c r="AP52" s="54">
        <f>G52*(1-0)</f>
        <v>0</v>
      </c>
      <c r="AQ52" s="57" t="s">
        <v>108</v>
      </c>
      <c r="AV52" s="54">
        <f t="shared" si="38"/>
        <v>0</v>
      </c>
      <c r="AW52" s="54">
        <f t="shared" si="39"/>
        <v>0</v>
      </c>
      <c r="AX52" s="54">
        <f t="shared" si="40"/>
        <v>0</v>
      </c>
      <c r="AY52" s="57" t="s">
        <v>236</v>
      </c>
      <c r="AZ52" s="57" t="s">
        <v>230</v>
      </c>
      <c r="BA52" s="34" t="s">
        <v>231</v>
      </c>
      <c r="BC52" s="54">
        <f t="shared" si="41"/>
        <v>0</v>
      </c>
      <c r="BD52" s="54">
        <f t="shared" si="42"/>
        <v>0</v>
      </c>
      <c r="BE52" s="54">
        <v>0</v>
      </c>
      <c r="BF52" s="54">
        <f>52</f>
        <v>52</v>
      </c>
      <c r="BH52" s="54">
        <f t="shared" si="43"/>
        <v>0</v>
      </c>
      <c r="BI52" s="54">
        <f t="shared" si="44"/>
        <v>0</v>
      </c>
      <c r="BJ52" s="54">
        <f t="shared" si="45"/>
        <v>0</v>
      </c>
      <c r="BK52" s="57" t="s">
        <v>115</v>
      </c>
      <c r="BL52" s="54">
        <v>18</v>
      </c>
      <c r="BW52" s="54">
        <v>21</v>
      </c>
      <c r="BX52" s="3" t="s">
        <v>242</v>
      </c>
    </row>
    <row r="53" spans="1:76" x14ac:dyDescent="0.25">
      <c r="A53" s="1" t="s">
        <v>233</v>
      </c>
      <c r="B53" s="2" t="s">
        <v>244</v>
      </c>
      <c r="C53" s="83" t="s">
        <v>245</v>
      </c>
      <c r="D53" s="78"/>
      <c r="E53" s="2" t="s">
        <v>111</v>
      </c>
      <c r="F53" s="54">
        <f>'Stavební rozpočet'!F57</f>
        <v>3</v>
      </c>
      <c r="G53" s="54">
        <f>'Stavební rozpočet'!G57</f>
        <v>0</v>
      </c>
      <c r="H53" s="54">
        <f t="shared" si="24"/>
        <v>0</v>
      </c>
      <c r="I53" s="54">
        <f t="shared" si="25"/>
        <v>0</v>
      </c>
      <c r="J53" s="54">
        <f t="shared" si="26"/>
        <v>0</v>
      </c>
      <c r="K53" s="56" t="s">
        <v>120</v>
      </c>
      <c r="Z53" s="54">
        <f t="shared" si="27"/>
        <v>0</v>
      </c>
      <c r="AB53" s="54">
        <f t="shared" si="28"/>
        <v>0</v>
      </c>
      <c r="AC53" s="54">
        <f t="shared" si="29"/>
        <v>0</v>
      </c>
      <c r="AD53" s="54">
        <f t="shared" si="30"/>
        <v>0</v>
      </c>
      <c r="AE53" s="54">
        <f t="shared" si="31"/>
        <v>0</v>
      </c>
      <c r="AF53" s="54">
        <f t="shared" si="32"/>
        <v>0</v>
      </c>
      <c r="AG53" s="54">
        <f t="shared" si="33"/>
        <v>0</v>
      </c>
      <c r="AH53" s="54">
        <f t="shared" si="34"/>
        <v>0</v>
      </c>
      <c r="AI53" s="34" t="s">
        <v>224</v>
      </c>
      <c r="AJ53" s="54">
        <f t="shared" si="35"/>
        <v>0</v>
      </c>
      <c r="AK53" s="54">
        <f t="shared" si="36"/>
        <v>0</v>
      </c>
      <c r="AL53" s="54">
        <f t="shared" si="37"/>
        <v>0</v>
      </c>
      <c r="AN53" s="54">
        <v>21</v>
      </c>
      <c r="AO53" s="54">
        <f>G53*0.005703212</f>
        <v>0</v>
      </c>
      <c r="AP53" s="54">
        <f>G53*(1-0.005703212)</f>
        <v>0</v>
      </c>
      <c r="AQ53" s="57" t="s">
        <v>108</v>
      </c>
      <c r="AV53" s="54">
        <f t="shared" si="38"/>
        <v>0</v>
      </c>
      <c r="AW53" s="54">
        <f t="shared" si="39"/>
        <v>0</v>
      </c>
      <c r="AX53" s="54">
        <f t="shared" si="40"/>
        <v>0</v>
      </c>
      <c r="AY53" s="57" t="s">
        <v>236</v>
      </c>
      <c r="AZ53" s="57" t="s">
        <v>230</v>
      </c>
      <c r="BA53" s="34" t="s">
        <v>231</v>
      </c>
      <c r="BC53" s="54">
        <f t="shared" si="41"/>
        <v>0</v>
      </c>
      <c r="BD53" s="54">
        <f t="shared" si="42"/>
        <v>0</v>
      </c>
      <c r="BE53" s="54">
        <v>0</v>
      </c>
      <c r="BF53" s="54">
        <f>53</f>
        <v>53</v>
      </c>
      <c r="BH53" s="54">
        <f t="shared" si="43"/>
        <v>0</v>
      </c>
      <c r="BI53" s="54">
        <f t="shared" si="44"/>
        <v>0</v>
      </c>
      <c r="BJ53" s="54">
        <f t="shared" si="45"/>
        <v>0</v>
      </c>
      <c r="BK53" s="57" t="s">
        <v>115</v>
      </c>
      <c r="BL53" s="54">
        <v>18</v>
      </c>
      <c r="BW53" s="54">
        <v>21</v>
      </c>
      <c r="BX53" s="3" t="s">
        <v>245</v>
      </c>
    </row>
    <row r="54" spans="1:76" x14ac:dyDescent="0.25">
      <c r="A54" s="1" t="s">
        <v>237</v>
      </c>
      <c r="B54" s="2" t="s">
        <v>247</v>
      </c>
      <c r="C54" s="83" t="s">
        <v>248</v>
      </c>
      <c r="D54" s="78"/>
      <c r="E54" s="2" t="s">
        <v>214</v>
      </c>
      <c r="F54" s="54">
        <f>'Stavební rozpočet'!F58</f>
        <v>3</v>
      </c>
      <c r="G54" s="54">
        <f>'Stavební rozpočet'!G58</f>
        <v>0</v>
      </c>
      <c r="H54" s="54">
        <f t="shared" si="24"/>
        <v>0</v>
      </c>
      <c r="I54" s="54">
        <f t="shared" si="25"/>
        <v>0</v>
      </c>
      <c r="J54" s="54">
        <f t="shared" si="26"/>
        <v>0</v>
      </c>
      <c r="K54" s="56" t="s">
        <v>120</v>
      </c>
      <c r="Z54" s="54">
        <f t="shared" si="27"/>
        <v>0</v>
      </c>
      <c r="AB54" s="54">
        <f t="shared" si="28"/>
        <v>0</v>
      </c>
      <c r="AC54" s="54">
        <f t="shared" si="29"/>
        <v>0</v>
      </c>
      <c r="AD54" s="54">
        <f t="shared" si="30"/>
        <v>0</v>
      </c>
      <c r="AE54" s="54">
        <f t="shared" si="31"/>
        <v>0</v>
      </c>
      <c r="AF54" s="54">
        <f t="shared" si="32"/>
        <v>0</v>
      </c>
      <c r="AG54" s="54">
        <f t="shared" si="33"/>
        <v>0</v>
      </c>
      <c r="AH54" s="54">
        <f t="shared" si="34"/>
        <v>0</v>
      </c>
      <c r="AI54" s="34" t="s">
        <v>224</v>
      </c>
      <c r="AJ54" s="54">
        <f t="shared" si="35"/>
        <v>0</v>
      </c>
      <c r="AK54" s="54">
        <f t="shared" si="36"/>
        <v>0</v>
      </c>
      <c r="AL54" s="54">
        <f t="shared" si="37"/>
        <v>0</v>
      </c>
      <c r="AN54" s="54">
        <v>21</v>
      </c>
      <c r="AO54" s="54">
        <f>G54*0</f>
        <v>0</v>
      </c>
      <c r="AP54" s="54">
        <f>G54*(1-0)</f>
        <v>0</v>
      </c>
      <c r="AQ54" s="57" t="s">
        <v>108</v>
      </c>
      <c r="AV54" s="54">
        <f t="shared" si="38"/>
        <v>0</v>
      </c>
      <c r="AW54" s="54">
        <f t="shared" si="39"/>
        <v>0</v>
      </c>
      <c r="AX54" s="54">
        <f t="shared" si="40"/>
        <v>0</v>
      </c>
      <c r="AY54" s="57" t="s">
        <v>236</v>
      </c>
      <c r="AZ54" s="57" t="s">
        <v>230</v>
      </c>
      <c r="BA54" s="34" t="s">
        <v>231</v>
      </c>
      <c r="BC54" s="54">
        <f t="shared" si="41"/>
        <v>0</v>
      </c>
      <c r="BD54" s="54">
        <f t="shared" si="42"/>
        <v>0</v>
      </c>
      <c r="BE54" s="54">
        <v>0</v>
      </c>
      <c r="BF54" s="54">
        <f>54</f>
        <v>54</v>
      </c>
      <c r="BH54" s="54">
        <f t="shared" si="43"/>
        <v>0</v>
      </c>
      <c r="BI54" s="54">
        <f t="shared" si="44"/>
        <v>0</v>
      </c>
      <c r="BJ54" s="54">
        <f t="shared" si="45"/>
        <v>0</v>
      </c>
      <c r="BK54" s="57" t="s">
        <v>115</v>
      </c>
      <c r="BL54" s="54">
        <v>18</v>
      </c>
      <c r="BW54" s="54">
        <v>21</v>
      </c>
      <c r="BX54" s="3" t="s">
        <v>248</v>
      </c>
    </row>
    <row r="55" spans="1:76" x14ac:dyDescent="0.25">
      <c r="A55" s="1" t="s">
        <v>240</v>
      </c>
      <c r="B55" s="2" t="s">
        <v>250</v>
      </c>
      <c r="C55" s="83" t="s">
        <v>251</v>
      </c>
      <c r="D55" s="78"/>
      <c r="E55" s="2" t="s">
        <v>214</v>
      </c>
      <c r="F55" s="54">
        <f>'Stavební rozpočet'!F59</f>
        <v>3</v>
      </c>
      <c r="G55" s="54">
        <f>'Stavební rozpočet'!G59</f>
        <v>0</v>
      </c>
      <c r="H55" s="54">
        <f t="shared" si="24"/>
        <v>0</v>
      </c>
      <c r="I55" s="54">
        <f t="shared" si="25"/>
        <v>0</v>
      </c>
      <c r="J55" s="54">
        <f t="shared" si="26"/>
        <v>0</v>
      </c>
      <c r="K55" s="56" t="s">
        <v>120</v>
      </c>
      <c r="Z55" s="54">
        <f t="shared" si="27"/>
        <v>0</v>
      </c>
      <c r="AB55" s="54">
        <f t="shared" si="28"/>
        <v>0</v>
      </c>
      <c r="AC55" s="54">
        <f t="shared" si="29"/>
        <v>0</v>
      </c>
      <c r="AD55" s="54">
        <f t="shared" si="30"/>
        <v>0</v>
      </c>
      <c r="AE55" s="54">
        <f t="shared" si="31"/>
        <v>0</v>
      </c>
      <c r="AF55" s="54">
        <f t="shared" si="32"/>
        <v>0</v>
      </c>
      <c r="AG55" s="54">
        <f t="shared" si="33"/>
        <v>0</v>
      </c>
      <c r="AH55" s="54">
        <f t="shared" si="34"/>
        <v>0</v>
      </c>
      <c r="AI55" s="34" t="s">
        <v>224</v>
      </c>
      <c r="AJ55" s="54">
        <f t="shared" si="35"/>
        <v>0</v>
      </c>
      <c r="AK55" s="54">
        <f t="shared" si="36"/>
        <v>0</v>
      </c>
      <c r="AL55" s="54">
        <f t="shared" si="37"/>
        <v>0</v>
      </c>
      <c r="AN55" s="54">
        <v>21</v>
      </c>
      <c r="AO55" s="54">
        <f>G55*0</f>
        <v>0</v>
      </c>
      <c r="AP55" s="54">
        <f>G55*(1-0)</f>
        <v>0</v>
      </c>
      <c r="AQ55" s="57" t="s">
        <v>108</v>
      </c>
      <c r="AV55" s="54">
        <f t="shared" si="38"/>
        <v>0</v>
      </c>
      <c r="AW55" s="54">
        <f t="shared" si="39"/>
        <v>0</v>
      </c>
      <c r="AX55" s="54">
        <f t="shared" si="40"/>
        <v>0</v>
      </c>
      <c r="AY55" s="57" t="s">
        <v>236</v>
      </c>
      <c r="AZ55" s="57" t="s">
        <v>230</v>
      </c>
      <c r="BA55" s="34" t="s">
        <v>231</v>
      </c>
      <c r="BC55" s="54">
        <f t="shared" si="41"/>
        <v>0</v>
      </c>
      <c r="BD55" s="54">
        <f t="shared" si="42"/>
        <v>0</v>
      </c>
      <c r="BE55" s="54">
        <v>0</v>
      </c>
      <c r="BF55" s="54">
        <f>55</f>
        <v>55</v>
      </c>
      <c r="BH55" s="54">
        <f t="shared" si="43"/>
        <v>0</v>
      </c>
      <c r="BI55" s="54">
        <f t="shared" si="44"/>
        <v>0</v>
      </c>
      <c r="BJ55" s="54">
        <f t="shared" si="45"/>
        <v>0</v>
      </c>
      <c r="BK55" s="57" t="s">
        <v>115</v>
      </c>
      <c r="BL55" s="54">
        <v>18</v>
      </c>
      <c r="BW55" s="54">
        <v>21</v>
      </c>
      <c r="BX55" s="3" t="s">
        <v>251</v>
      </c>
    </row>
    <row r="56" spans="1:76" x14ac:dyDescent="0.25">
      <c r="A56" s="1" t="s">
        <v>243</v>
      </c>
      <c r="B56" s="2" t="s">
        <v>253</v>
      </c>
      <c r="C56" s="83" t="s">
        <v>254</v>
      </c>
      <c r="D56" s="78"/>
      <c r="E56" s="2" t="s">
        <v>111</v>
      </c>
      <c r="F56" s="54">
        <f>'Stavební rozpočet'!F60</f>
        <v>3</v>
      </c>
      <c r="G56" s="54">
        <f>'Stavební rozpočet'!G60</f>
        <v>0</v>
      </c>
      <c r="H56" s="54">
        <f t="shared" si="24"/>
        <v>0</v>
      </c>
      <c r="I56" s="54">
        <f t="shared" si="25"/>
        <v>0</v>
      </c>
      <c r="J56" s="54">
        <f t="shared" si="26"/>
        <v>0</v>
      </c>
      <c r="K56" s="56" t="s">
        <v>120</v>
      </c>
      <c r="Z56" s="54">
        <f t="shared" si="27"/>
        <v>0</v>
      </c>
      <c r="AB56" s="54">
        <f t="shared" si="28"/>
        <v>0</v>
      </c>
      <c r="AC56" s="54">
        <f t="shared" si="29"/>
        <v>0</v>
      </c>
      <c r="AD56" s="54">
        <f t="shared" si="30"/>
        <v>0</v>
      </c>
      <c r="AE56" s="54">
        <f t="shared" si="31"/>
        <v>0</v>
      </c>
      <c r="AF56" s="54">
        <f t="shared" si="32"/>
        <v>0</v>
      </c>
      <c r="AG56" s="54">
        <f t="shared" si="33"/>
        <v>0</v>
      </c>
      <c r="AH56" s="54">
        <f t="shared" si="34"/>
        <v>0</v>
      </c>
      <c r="AI56" s="34" t="s">
        <v>224</v>
      </c>
      <c r="AJ56" s="54">
        <f t="shared" si="35"/>
        <v>0</v>
      </c>
      <c r="AK56" s="54">
        <f t="shared" si="36"/>
        <v>0</v>
      </c>
      <c r="AL56" s="54">
        <f t="shared" si="37"/>
        <v>0</v>
      </c>
      <c r="AN56" s="54">
        <v>21</v>
      </c>
      <c r="AO56" s="54">
        <f>G56*0</f>
        <v>0</v>
      </c>
      <c r="AP56" s="54">
        <f>G56*(1-0)</f>
        <v>0</v>
      </c>
      <c r="AQ56" s="57" t="s">
        <v>108</v>
      </c>
      <c r="AV56" s="54">
        <f t="shared" si="38"/>
        <v>0</v>
      </c>
      <c r="AW56" s="54">
        <f t="shared" si="39"/>
        <v>0</v>
      </c>
      <c r="AX56" s="54">
        <f t="shared" si="40"/>
        <v>0</v>
      </c>
      <c r="AY56" s="57" t="s">
        <v>236</v>
      </c>
      <c r="AZ56" s="57" t="s">
        <v>230</v>
      </c>
      <c r="BA56" s="34" t="s">
        <v>231</v>
      </c>
      <c r="BC56" s="54">
        <f t="shared" si="41"/>
        <v>0</v>
      </c>
      <c r="BD56" s="54">
        <f t="shared" si="42"/>
        <v>0</v>
      </c>
      <c r="BE56" s="54">
        <v>0</v>
      </c>
      <c r="BF56" s="54">
        <f>56</f>
        <v>56</v>
      </c>
      <c r="BH56" s="54">
        <f t="shared" si="43"/>
        <v>0</v>
      </c>
      <c r="BI56" s="54">
        <f t="shared" si="44"/>
        <v>0</v>
      </c>
      <c r="BJ56" s="54">
        <f t="shared" si="45"/>
        <v>0</v>
      </c>
      <c r="BK56" s="57" t="s">
        <v>115</v>
      </c>
      <c r="BL56" s="54">
        <v>18</v>
      </c>
      <c r="BW56" s="54">
        <v>21</v>
      </c>
      <c r="BX56" s="3" t="s">
        <v>254</v>
      </c>
    </row>
    <row r="57" spans="1:76" x14ac:dyDescent="0.25">
      <c r="A57" s="1" t="s">
        <v>246</v>
      </c>
      <c r="B57" s="2" t="s">
        <v>256</v>
      </c>
      <c r="C57" s="83" t="s">
        <v>257</v>
      </c>
      <c r="D57" s="78"/>
      <c r="E57" s="2" t="s">
        <v>177</v>
      </c>
      <c r="F57" s="54">
        <f>'Stavební rozpočet'!F61</f>
        <v>0.3</v>
      </c>
      <c r="G57" s="54">
        <f>'Stavební rozpočet'!G61</f>
        <v>0</v>
      </c>
      <c r="H57" s="54">
        <f t="shared" si="24"/>
        <v>0</v>
      </c>
      <c r="I57" s="54">
        <f t="shared" si="25"/>
        <v>0</v>
      </c>
      <c r="J57" s="54">
        <f t="shared" si="26"/>
        <v>0</v>
      </c>
      <c r="K57" s="56" t="s">
        <v>120</v>
      </c>
      <c r="Z57" s="54">
        <f t="shared" si="27"/>
        <v>0</v>
      </c>
      <c r="AB57" s="54">
        <f t="shared" si="28"/>
        <v>0</v>
      </c>
      <c r="AC57" s="54">
        <f t="shared" si="29"/>
        <v>0</v>
      </c>
      <c r="AD57" s="54">
        <f t="shared" si="30"/>
        <v>0</v>
      </c>
      <c r="AE57" s="54">
        <f t="shared" si="31"/>
        <v>0</v>
      </c>
      <c r="AF57" s="54">
        <f t="shared" si="32"/>
        <v>0</v>
      </c>
      <c r="AG57" s="54">
        <f t="shared" si="33"/>
        <v>0</v>
      </c>
      <c r="AH57" s="54">
        <f t="shared" si="34"/>
        <v>0</v>
      </c>
      <c r="AI57" s="34" t="s">
        <v>224</v>
      </c>
      <c r="AJ57" s="54">
        <f t="shared" si="35"/>
        <v>0</v>
      </c>
      <c r="AK57" s="54">
        <f t="shared" si="36"/>
        <v>0</v>
      </c>
      <c r="AL57" s="54">
        <f t="shared" si="37"/>
        <v>0</v>
      </c>
      <c r="AN57" s="54">
        <v>21</v>
      </c>
      <c r="AO57" s="54">
        <f>G57*0</f>
        <v>0</v>
      </c>
      <c r="AP57" s="54">
        <f>G57*(1-0)</f>
        <v>0</v>
      </c>
      <c r="AQ57" s="57" t="s">
        <v>108</v>
      </c>
      <c r="AV57" s="54">
        <f t="shared" si="38"/>
        <v>0</v>
      </c>
      <c r="AW57" s="54">
        <f t="shared" si="39"/>
        <v>0</v>
      </c>
      <c r="AX57" s="54">
        <f t="shared" si="40"/>
        <v>0</v>
      </c>
      <c r="AY57" s="57" t="s">
        <v>236</v>
      </c>
      <c r="AZ57" s="57" t="s">
        <v>230</v>
      </c>
      <c r="BA57" s="34" t="s">
        <v>231</v>
      </c>
      <c r="BC57" s="54">
        <f t="shared" si="41"/>
        <v>0</v>
      </c>
      <c r="BD57" s="54">
        <f t="shared" si="42"/>
        <v>0</v>
      </c>
      <c r="BE57" s="54">
        <v>0</v>
      </c>
      <c r="BF57" s="54">
        <f>57</f>
        <v>57</v>
      </c>
      <c r="BH57" s="54">
        <f t="shared" si="43"/>
        <v>0</v>
      </c>
      <c r="BI57" s="54">
        <f t="shared" si="44"/>
        <v>0</v>
      </c>
      <c r="BJ57" s="54">
        <f t="shared" si="45"/>
        <v>0</v>
      </c>
      <c r="BK57" s="57" t="s">
        <v>115</v>
      </c>
      <c r="BL57" s="54">
        <v>18</v>
      </c>
      <c r="BW57" s="54">
        <v>21</v>
      </c>
      <c r="BX57" s="3" t="s">
        <v>257</v>
      </c>
    </row>
    <row r="58" spans="1:76" x14ac:dyDescent="0.25">
      <c r="A58" s="49" t="s">
        <v>4</v>
      </c>
      <c r="B58" s="50" t="s">
        <v>258</v>
      </c>
      <c r="C58" s="161" t="s">
        <v>259</v>
      </c>
      <c r="D58" s="162"/>
      <c r="E58" s="51" t="s">
        <v>69</v>
      </c>
      <c r="F58" s="51" t="s">
        <v>69</v>
      </c>
      <c r="G58" s="51" t="s">
        <v>69</v>
      </c>
      <c r="H58" s="28">
        <f>SUM(H59:H59)</f>
        <v>0</v>
      </c>
      <c r="I58" s="28">
        <f>SUM(I59:I59)</f>
        <v>0</v>
      </c>
      <c r="J58" s="28">
        <f>SUM(J59:J59)</f>
        <v>0</v>
      </c>
      <c r="K58" s="53" t="s">
        <v>4</v>
      </c>
      <c r="AI58" s="34" t="s">
        <v>224</v>
      </c>
      <c r="AS58" s="28">
        <f>SUM(AJ59:AJ59)</f>
        <v>0</v>
      </c>
      <c r="AT58" s="28">
        <f>SUM(AK59:AK59)</f>
        <v>0</v>
      </c>
      <c r="AU58" s="28">
        <f>SUM(AL59:AL59)</f>
        <v>0</v>
      </c>
    </row>
    <row r="59" spans="1:76" x14ac:dyDescent="0.25">
      <c r="A59" s="1" t="s">
        <v>249</v>
      </c>
      <c r="B59" s="2" t="s">
        <v>219</v>
      </c>
      <c r="C59" s="83" t="s">
        <v>220</v>
      </c>
      <c r="D59" s="78"/>
      <c r="E59" s="2" t="s">
        <v>136</v>
      </c>
      <c r="F59" s="54">
        <f>'Stavební rozpočet'!F63</f>
        <v>8.33</v>
      </c>
      <c r="G59" s="54">
        <f>'Stavební rozpočet'!G63</f>
        <v>0</v>
      </c>
      <c r="H59" s="54">
        <f>ROUND(F59*AO59,2)</f>
        <v>0</v>
      </c>
      <c r="I59" s="54">
        <f>ROUND(F59*AP59,2)</f>
        <v>0</v>
      </c>
      <c r="J59" s="54">
        <f>ROUND(F59*G59,2)</f>
        <v>0</v>
      </c>
      <c r="K59" s="56" t="s">
        <v>120</v>
      </c>
      <c r="Z59" s="54">
        <f>ROUND(IF(AQ59="5",BJ59,0),2)</f>
        <v>0</v>
      </c>
      <c r="AB59" s="54">
        <f>ROUND(IF(AQ59="1",BH59,0),2)</f>
        <v>0</v>
      </c>
      <c r="AC59" s="54">
        <f>ROUND(IF(AQ59="1",BI59,0),2)</f>
        <v>0</v>
      </c>
      <c r="AD59" s="54">
        <f>ROUND(IF(AQ59="7",BH59,0),2)</f>
        <v>0</v>
      </c>
      <c r="AE59" s="54">
        <f>ROUND(IF(AQ59="7",BI59,0),2)</f>
        <v>0</v>
      </c>
      <c r="AF59" s="54">
        <f>ROUND(IF(AQ59="2",BH59,0),2)</f>
        <v>0</v>
      </c>
      <c r="AG59" s="54">
        <f>ROUND(IF(AQ59="2",BI59,0),2)</f>
        <v>0</v>
      </c>
      <c r="AH59" s="54">
        <f>ROUND(IF(AQ59="0",BJ59,0),2)</f>
        <v>0</v>
      </c>
      <c r="AI59" s="34" t="s">
        <v>224</v>
      </c>
      <c r="AJ59" s="54">
        <f>IF(AN59=0,J59,0)</f>
        <v>0</v>
      </c>
      <c r="AK59" s="54">
        <f>IF(AN59=0,J59,0)</f>
        <v>0</v>
      </c>
      <c r="AL59" s="54">
        <f>IF(AN59=21,J59,0)</f>
        <v>0</v>
      </c>
      <c r="AN59" s="54">
        <v>21</v>
      </c>
      <c r="AO59" s="54">
        <f>G59*0</f>
        <v>0</v>
      </c>
      <c r="AP59" s="54">
        <f>G59*(1-0)</f>
        <v>0</v>
      </c>
      <c r="AQ59" s="57" t="s">
        <v>129</v>
      </c>
      <c r="AV59" s="54">
        <f>ROUND(AW59+AX59,2)</f>
        <v>0</v>
      </c>
      <c r="AW59" s="54">
        <f>ROUND(F59*AO59,2)</f>
        <v>0</v>
      </c>
      <c r="AX59" s="54">
        <f>ROUND(F59*AP59,2)</f>
        <v>0</v>
      </c>
      <c r="AY59" s="57" t="s">
        <v>261</v>
      </c>
      <c r="AZ59" s="57" t="s">
        <v>262</v>
      </c>
      <c r="BA59" s="34" t="s">
        <v>231</v>
      </c>
      <c r="BC59" s="54">
        <f>AW59+AX59</f>
        <v>0</v>
      </c>
      <c r="BD59" s="54">
        <f>G59/(100-BE59)*100</f>
        <v>0</v>
      </c>
      <c r="BE59" s="54">
        <v>0</v>
      </c>
      <c r="BF59" s="54">
        <f>59</f>
        <v>59</v>
      </c>
      <c r="BH59" s="54">
        <f>F59*AO59</f>
        <v>0</v>
      </c>
      <c r="BI59" s="54">
        <f>F59*AP59</f>
        <v>0</v>
      </c>
      <c r="BJ59" s="54">
        <f>F59*G59</f>
        <v>0</v>
      </c>
      <c r="BK59" s="57" t="s">
        <v>115</v>
      </c>
      <c r="BL59" s="54"/>
      <c r="BW59" s="54">
        <v>21</v>
      </c>
      <c r="BX59" s="3" t="s">
        <v>220</v>
      </c>
    </row>
    <row r="60" spans="1:76" x14ac:dyDescent="0.25">
      <c r="A60" s="60" t="s">
        <v>4</v>
      </c>
      <c r="B60" s="61" t="s">
        <v>4</v>
      </c>
      <c r="C60" s="167" t="s">
        <v>290</v>
      </c>
      <c r="D60" s="168"/>
      <c r="E60" s="62" t="s">
        <v>69</v>
      </c>
      <c r="F60" s="62" t="s">
        <v>69</v>
      </c>
      <c r="G60" s="62" t="s">
        <v>69</v>
      </c>
      <c r="H60" s="63">
        <f>H61+H63+H73</f>
        <v>0</v>
      </c>
      <c r="I60" s="63">
        <f>I61+I63+I73</f>
        <v>0</v>
      </c>
      <c r="J60" s="63">
        <f>J61+J63+J73</f>
        <v>0</v>
      </c>
      <c r="K60" s="64" t="s">
        <v>4</v>
      </c>
    </row>
    <row r="61" spans="1:76" x14ac:dyDescent="0.25">
      <c r="A61" s="49" t="s">
        <v>4</v>
      </c>
      <c r="B61" s="50" t="s">
        <v>222</v>
      </c>
      <c r="C61" s="161" t="s">
        <v>223</v>
      </c>
      <c r="D61" s="162"/>
      <c r="E61" s="51" t="s">
        <v>69</v>
      </c>
      <c r="F61" s="51" t="s">
        <v>69</v>
      </c>
      <c r="G61" s="51" t="s">
        <v>69</v>
      </c>
      <c r="H61" s="28">
        <f>SUM(H62:H62)</f>
        <v>0</v>
      </c>
      <c r="I61" s="28">
        <f>SUM(I62:I62)</f>
        <v>0</v>
      </c>
      <c r="J61" s="28">
        <f>SUM(J62:J62)</f>
        <v>0</v>
      </c>
      <c r="K61" s="53" t="s">
        <v>4</v>
      </c>
      <c r="AI61" s="34" t="s">
        <v>291</v>
      </c>
      <c r="AS61" s="28">
        <f>SUM(AJ62:AJ62)</f>
        <v>0</v>
      </c>
      <c r="AT61" s="28">
        <f>SUM(AK62:AK62)</f>
        <v>0</v>
      </c>
      <c r="AU61" s="28">
        <f>SUM(AL62:AL62)</f>
        <v>0</v>
      </c>
    </row>
    <row r="62" spans="1:76" x14ac:dyDescent="0.25">
      <c r="A62" s="1" t="s">
        <v>252</v>
      </c>
      <c r="B62" s="2" t="s">
        <v>226</v>
      </c>
      <c r="C62" s="83" t="s">
        <v>227</v>
      </c>
      <c r="D62" s="78"/>
      <c r="E62" s="2" t="s">
        <v>228</v>
      </c>
      <c r="F62" s="54">
        <f>'Stavební rozpočet'!F76</f>
        <v>7</v>
      </c>
      <c r="G62" s="54">
        <f>'Stavební rozpočet'!G76</f>
        <v>0</v>
      </c>
      <c r="H62" s="54">
        <f>ROUND(F62*AO62,2)</f>
        <v>0</v>
      </c>
      <c r="I62" s="54">
        <f>ROUND(F62*AP62,2)</f>
        <v>0</v>
      </c>
      <c r="J62" s="54">
        <f>ROUND(F62*G62,2)</f>
        <v>0</v>
      </c>
      <c r="K62" s="56" t="s">
        <v>4</v>
      </c>
      <c r="Z62" s="54">
        <f>ROUND(IF(AQ62="5",BJ62,0),2)</f>
        <v>0</v>
      </c>
      <c r="AB62" s="54">
        <f>ROUND(IF(AQ62="1",BH62,0),2)</f>
        <v>0</v>
      </c>
      <c r="AC62" s="54">
        <f>ROUND(IF(AQ62="1",BI62,0),2)</f>
        <v>0</v>
      </c>
      <c r="AD62" s="54">
        <f>ROUND(IF(AQ62="7",BH62,0),2)</f>
        <v>0</v>
      </c>
      <c r="AE62" s="54">
        <f>ROUND(IF(AQ62="7",BI62,0),2)</f>
        <v>0</v>
      </c>
      <c r="AF62" s="54">
        <f>ROUND(IF(AQ62="2",BH62,0),2)</f>
        <v>0</v>
      </c>
      <c r="AG62" s="54">
        <f>ROUND(IF(AQ62="2",BI62,0),2)</f>
        <v>0</v>
      </c>
      <c r="AH62" s="54">
        <f>ROUND(IF(AQ62="0",BJ62,0),2)</f>
        <v>0</v>
      </c>
      <c r="AI62" s="34" t="s">
        <v>291</v>
      </c>
      <c r="AJ62" s="54">
        <f>IF(AN62=0,J62,0)</f>
        <v>0</v>
      </c>
      <c r="AK62" s="54">
        <f>IF(AN62=0,J62,0)</f>
        <v>0</v>
      </c>
      <c r="AL62" s="54">
        <f>IF(AN62=21,J62,0)</f>
        <v>0</v>
      </c>
      <c r="AN62" s="54">
        <v>21</v>
      </c>
      <c r="AO62" s="54">
        <f>G62*0</f>
        <v>0</v>
      </c>
      <c r="AP62" s="54">
        <f>G62*(1-0)</f>
        <v>0</v>
      </c>
      <c r="AQ62" s="57" t="s">
        <v>108</v>
      </c>
      <c r="AV62" s="54">
        <f>ROUND(AW62+AX62,2)</f>
        <v>0</v>
      </c>
      <c r="AW62" s="54">
        <f>ROUND(F62*AO62,2)</f>
        <v>0</v>
      </c>
      <c r="AX62" s="54">
        <f>ROUND(F62*AP62,2)</f>
        <v>0</v>
      </c>
      <c r="AY62" s="57" t="s">
        <v>229</v>
      </c>
      <c r="AZ62" s="57" t="s">
        <v>293</v>
      </c>
      <c r="BA62" s="34" t="s">
        <v>294</v>
      </c>
      <c r="BC62" s="54">
        <f>AW62+AX62</f>
        <v>0</v>
      </c>
      <c r="BD62" s="54">
        <f>G62/(100-BE62)*100</f>
        <v>0</v>
      </c>
      <c r="BE62" s="54">
        <v>0</v>
      </c>
      <c r="BF62" s="54">
        <f>62</f>
        <v>62</v>
      </c>
      <c r="BH62" s="54">
        <f>F62*AO62</f>
        <v>0</v>
      </c>
      <c r="BI62" s="54">
        <f>F62*AP62</f>
        <v>0</v>
      </c>
      <c r="BJ62" s="54">
        <f>F62*G62</f>
        <v>0</v>
      </c>
      <c r="BK62" s="57" t="s">
        <v>115</v>
      </c>
      <c r="BL62" s="54">
        <v>111</v>
      </c>
      <c r="BW62" s="54">
        <v>21</v>
      </c>
      <c r="BX62" s="3" t="s">
        <v>227</v>
      </c>
    </row>
    <row r="63" spans="1:76" x14ac:dyDescent="0.25">
      <c r="A63" s="49" t="s">
        <v>4</v>
      </c>
      <c r="B63" s="50" t="s">
        <v>182</v>
      </c>
      <c r="C63" s="161" t="s">
        <v>232</v>
      </c>
      <c r="D63" s="162"/>
      <c r="E63" s="51" t="s">
        <v>69</v>
      </c>
      <c r="F63" s="51" t="s">
        <v>69</v>
      </c>
      <c r="G63" s="51" t="s">
        <v>69</v>
      </c>
      <c r="H63" s="28">
        <f>SUM(H64:H72)</f>
        <v>0</v>
      </c>
      <c r="I63" s="28">
        <f>SUM(I64:I72)</f>
        <v>0</v>
      </c>
      <c r="J63" s="28">
        <f>SUM(J64:J72)</f>
        <v>0</v>
      </c>
      <c r="K63" s="53" t="s">
        <v>4</v>
      </c>
      <c r="AI63" s="34" t="s">
        <v>291</v>
      </c>
      <c r="AS63" s="28">
        <f>SUM(AJ64:AJ72)</f>
        <v>0</v>
      </c>
      <c r="AT63" s="28">
        <f>SUM(AK64:AK72)</f>
        <v>0</v>
      </c>
      <c r="AU63" s="28">
        <f>SUM(AL64:AL72)</f>
        <v>0</v>
      </c>
    </row>
    <row r="64" spans="1:76" x14ac:dyDescent="0.25">
      <c r="A64" s="1" t="s">
        <v>255</v>
      </c>
      <c r="B64" s="2" t="s">
        <v>296</v>
      </c>
      <c r="C64" s="83" t="s">
        <v>297</v>
      </c>
      <c r="D64" s="78"/>
      <c r="E64" s="2" t="s">
        <v>111</v>
      </c>
      <c r="F64" s="54">
        <f>'Stavební rozpočet'!F78</f>
        <v>7</v>
      </c>
      <c r="G64" s="54">
        <f>'Stavební rozpočet'!G78</f>
        <v>0</v>
      </c>
      <c r="H64" s="54">
        <f t="shared" ref="H64:H72" si="46">ROUND(F64*AO64,2)</f>
        <v>0</v>
      </c>
      <c r="I64" s="54">
        <f t="shared" ref="I64:I72" si="47">ROUND(F64*AP64,2)</f>
        <v>0</v>
      </c>
      <c r="J64" s="54">
        <f t="shared" ref="J64:J72" si="48">ROUND(F64*G64,2)</f>
        <v>0</v>
      </c>
      <c r="K64" s="56" t="s">
        <v>120</v>
      </c>
      <c r="Z64" s="54">
        <f t="shared" ref="Z64:Z72" si="49">ROUND(IF(AQ64="5",BJ64,0),2)</f>
        <v>0</v>
      </c>
      <c r="AB64" s="54">
        <f t="shared" ref="AB64:AB72" si="50">ROUND(IF(AQ64="1",BH64,0),2)</f>
        <v>0</v>
      </c>
      <c r="AC64" s="54">
        <f t="shared" ref="AC64:AC72" si="51">ROUND(IF(AQ64="1",BI64,0),2)</f>
        <v>0</v>
      </c>
      <c r="AD64" s="54">
        <f t="shared" ref="AD64:AD72" si="52">ROUND(IF(AQ64="7",BH64,0),2)</f>
        <v>0</v>
      </c>
      <c r="AE64" s="54">
        <f t="shared" ref="AE64:AE72" si="53">ROUND(IF(AQ64="7",BI64,0),2)</f>
        <v>0</v>
      </c>
      <c r="AF64" s="54">
        <f t="shared" ref="AF64:AF72" si="54">ROUND(IF(AQ64="2",BH64,0),2)</f>
        <v>0</v>
      </c>
      <c r="AG64" s="54">
        <f t="shared" ref="AG64:AG72" si="55">ROUND(IF(AQ64="2",BI64,0),2)</f>
        <v>0</v>
      </c>
      <c r="AH64" s="54">
        <f t="shared" ref="AH64:AH72" si="56">ROUND(IF(AQ64="0",BJ64,0),2)</f>
        <v>0</v>
      </c>
      <c r="AI64" s="34" t="s">
        <v>291</v>
      </c>
      <c r="AJ64" s="54">
        <f t="shared" ref="AJ64:AJ72" si="57">IF(AN64=0,J64,0)</f>
        <v>0</v>
      </c>
      <c r="AK64" s="54">
        <f t="shared" ref="AK64:AK72" si="58">IF(AN64=0,J64,0)</f>
        <v>0</v>
      </c>
      <c r="AL64" s="54">
        <f t="shared" ref="AL64:AL72" si="59">IF(AN64=21,J64,0)</f>
        <v>0</v>
      </c>
      <c r="AN64" s="54">
        <v>21</v>
      </c>
      <c r="AO64" s="54">
        <f>G64*0</f>
        <v>0</v>
      </c>
      <c r="AP64" s="54">
        <f>G64*(1-0)</f>
        <v>0</v>
      </c>
      <c r="AQ64" s="57" t="s">
        <v>108</v>
      </c>
      <c r="AV64" s="54">
        <f t="shared" ref="AV64:AV72" si="60">ROUND(AW64+AX64,2)</f>
        <v>0</v>
      </c>
      <c r="AW64" s="54">
        <f t="shared" ref="AW64:AW72" si="61">ROUND(F64*AO64,2)</f>
        <v>0</v>
      </c>
      <c r="AX64" s="54">
        <f t="shared" ref="AX64:AX72" si="62">ROUND(F64*AP64,2)</f>
        <v>0</v>
      </c>
      <c r="AY64" s="57" t="s">
        <v>236</v>
      </c>
      <c r="AZ64" s="57" t="s">
        <v>293</v>
      </c>
      <c r="BA64" s="34" t="s">
        <v>294</v>
      </c>
      <c r="BC64" s="54">
        <f t="shared" ref="BC64:BC72" si="63">AW64+AX64</f>
        <v>0</v>
      </c>
      <c r="BD64" s="54">
        <f t="shared" ref="BD64:BD72" si="64">G64/(100-BE64)*100</f>
        <v>0</v>
      </c>
      <c r="BE64" s="54">
        <v>0</v>
      </c>
      <c r="BF64" s="54">
        <f>64</f>
        <v>64</v>
      </c>
      <c r="BH64" s="54">
        <f t="shared" ref="BH64:BH72" si="65">F64*AO64</f>
        <v>0</v>
      </c>
      <c r="BI64" s="54">
        <f t="shared" ref="BI64:BI72" si="66">F64*AP64</f>
        <v>0</v>
      </c>
      <c r="BJ64" s="54">
        <f t="shared" ref="BJ64:BJ72" si="67">F64*G64</f>
        <v>0</v>
      </c>
      <c r="BK64" s="57" t="s">
        <v>115</v>
      </c>
      <c r="BL64" s="54">
        <v>18</v>
      </c>
      <c r="BW64" s="54">
        <v>21</v>
      </c>
      <c r="BX64" s="3" t="s">
        <v>297</v>
      </c>
    </row>
    <row r="65" spans="1:76" x14ac:dyDescent="0.25">
      <c r="A65" s="1" t="s">
        <v>260</v>
      </c>
      <c r="B65" s="2" t="s">
        <v>238</v>
      </c>
      <c r="C65" s="83" t="s">
        <v>299</v>
      </c>
      <c r="D65" s="78"/>
      <c r="E65" s="2" t="s">
        <v>177</v>
      </c>
      <c r="F65" s="54">
        <f>'Stavební rozpočet'!F79</f>
        <v>1.18</v>
      </c>
      <c r="G65" s="54">
        <f>'Stavební rozpočet'!G79</f>
        <v>0</v>
      </c>
      <c r="H65" s="54">
        <f t="shared" si="46"/>
        <v>0</v>
      </c>
      <c r="I65" s="54">
        <f t="shared" si="47"/>
        <v>0</v>
      </c>
      <c r="J65" s="54">
        <f t="shared" si="48"/>
        <v>0</v>
      </c>
      <c r="K65" s="56" t="s">
        <v>4</v>
      </c>
      <c r="Z65" s="54">
        <f t="shared" si="49"/>
        <v>0</v>
      </c>
      <c r="AB65" s="54">
        <f t="shared" si="50"/>
        <v>0</v>
      </c>
      <c r="AC65" s="54">
        <f t="shared" si="51"/>
        <v>0</v>
      </c>
      <c r="AD65" s="54">
        <f t="shared" si="52"/>
        <v>0</v>
      </c>
      <c r="AE65" s="54">
        <f t="shared" si="53"/>
        <v>0</v>
      </c>
      <c r="AF65" s="54">
        <f t="shared" si="54"/>
        <v>0</v>
      </c>
      <c r="AG65" s="54">
        <f t="shared" si="55"/>
        <v>0</v>
      </c>
      <c r="AH65" s="54">
        <f t="shared" si="56"/>
        <v>0</v>
      </c>
      <c r="AI65" s="34" t="s">
        <v>291</v>
      </c>
      <c r="AJ65" s="54">
        <f t="shared" si="57"/>
        <v>0</v>
      </c>
      <c r="AK65" s="54">
        <f t="shared" si="58"/>
        <v>0</v>
      </c>
      <c r="AL65" s="54">
        <f t="shared" si="59"/>
        <v>0</v>
      </c>
      <c r="AN65" s="54">
        <v>21</v>
      </c>
      <c r="AO65" s="54">
        <f>G65*0</f>
        <v>0</v>
      </c>
      <c r="AP65" s="54">
        <f>G65*(1-0)</f>
        <v>0</v>
      </c>
      <c r="AQ65" s="57" t="s">
        <v>108</v>
      </c>
      <c r="AV65" s="54">
        <f t="shared" si="60"/>
        <v>0</v>
      </c>
      <c r="AW65" s="54">
        <f t="shared" si="61"/>
        <v>0</v>
      </c>
      <c r="AX65" s="54">
        <f t="shared" si="62"/>
        <v>0</v>
      </c>
      <c r="AY65" s="57" t="s">
        <v>236</v>
      </c>
      <c r="AZ65" s="57" t="s">
        <v>293</v>
      </c>
      <c r="BA65" s="34" t="s">
        <v>294</v>
      </c>
      <c r="BC65" s="54">
        <f t="shared" si="63"/>
        <v>0</v>
      </c>
      <c r="BD65" s="54">
        <f t="shared" si="64"/>
        <v>0</v>
      </c>
      <c r="BE65" s="54">
        <v>0</v>
      </c>
      <c r="BF65" s="54">
        <f>65</f>
        <v>65</v>
      </c>
      <c r="BH65" s="54">
        <f t="shared" si="65"/>
        <v>0</v>
      </c>
      <c r="BI65" s="54">
        <f t="shared" si="66"/>
        <v>0</v>
      </c>
      <c r="BJ65" s="54">
        <f t="shared" si="67"/>
        <v>0</v>
      </c>
      <c r="BK65" s="57" t="s">
        <v>115</v>
      </c>
      <c r="BL65" s="54">
        <v>18</v>
      </c>
      <c r="BW65" s="54">
        <v>21</v>
      </c>
      <c r="BX65" s="3" t="s">
        <v>299</v>
      </c>
    </row>
    <row r="66" spans="1:76" x14ac:dyDescent="0.25">
      <c r="A66" s="1" t="s">
        <v>263</v>
      </c>
      <c r="B66" s="2" t="s">
        <v>241</v>
      </c>
      <c r="C66" s="83" t="s">
        <v>242</v>
      </c>
      <c r="D66" s="78"/>
      <c r="E66" s="2" t="s">
        <v>177</v>
      </c>
      <c r="F66" s="54">
        <f>'Stavební rozpočet'!F80</f>
        <v>1.18</v>
      </c>
      <c r="G66" s="54">
        <f>'Stavební rozpočet'!G80</f>
        <v>0</v>
      </c>
      <c r="H66" s="54">
        <f t="shared" si="46"/>
        <v>0</v>
      </c>
      <c r="I66" s="54">
        <f t="shared" si="47"/>
        <v>0</v>
      </c>
      <c r="J66" s="54">
        <f t="shared" si="48"/>
        <v>0</v>
      </c>
      <c r="K66" s="56" t="s">
        <v>120</v>
      </c>
      <c r="Z66" s="54">
        <f t="shared" si="49"/>
        <v>0</v>
      </c>
      <c r="AB66" s="54">
        <f t="shared" si="50"/>
        <v>0</v>
      </c>
      <c r="AC66" s="54">
        <f t="shared" si="51"/>
        <v>0</v>
      </c>
      <c r="AD66" s="54">
        <f t="shared" si="52"/>
        <v>0</v>
      </c>
      <c r="AE66" s="54">
        <f t="shared" si="53"/>
        <v>0</v>
      </c>
      <c r="AF66" s="54">
        <f t="shared" si="54"/>
        <v>0</v>
      </c>
      <c r="AG66" s="54">
        <f t="shared" si="55"/>
        <v>0</v>
      </c>
      <c r="AH66" s="54">
        <f t="shared" si="56"/>
        <v>0</v>
      </c>
      <c r="AI66" s="34" t="s">
        <v>291</v>
      </c>
      <c r="AJ66" s="54">
        <f t="shared" si="57"/>
        <v>0</v>
      </c>
      <c r="AK66" s="54">
        <f t="shared" si="58"/>
        <v>0</v>
      </c>
      <c r="AL66" s="54">
        <f t="shared" si="59"/>
        <v>0</v>
      </c>
      <c r="AN66" s="54">
        <v>21</v>
      </c>
      <c r="AO66" s="54">
        <f>G66*0</f>
        <v>0</v>
      </c>
      <c r="AP66" s="54">
        <f>G66*(1-0)</f>
        <v>0</v>
      </c>
      <c r="AQ66" s="57" t="s">
        <v>108</v>
      </c>
      <c r="AV66" s="54">
        <f t="shared" si="60"/>
        <v>0</v>
      </c>
      <c r="AW66" s="54">
        <f t="shared" si="61"/>
        <v>0</v>
      </c>
      <c r="AX66" s="54">
        <f t="shared" si="62"/>
        <v>0</v>
      </c>
      <c r="AY66" s="57" t="s">
        <v>236</v>
      </c>
      <c r="AZ66" s="57" t="s">
        <v>293</v>
      </c>
      <c r="BA66" s="34" t="s">
        <v>294</v>
      </c>
      <c r="BC66" s="54">
        <f t="shared" si="63"/>
        <v>0</v>
      </c>
      <c r="BD66" s="54">
        <f t="shared" si="64"/>
        <v>0</v>
      </c>
      <c r="BE66" s="54">
        <v>0</v>
      </c>
      <c r="BF66" s="54">
        <f>66</f>
        <v>66</v>
      </c>
      <c r="BH66" s="54">
        <f t="shared" si="65"/>
        <v>0</v>
      </c>
      <c r="BI66" s="54">
        <f t="shared" si="66"/>
        <v>0</v>
      </c>
      <c r="BJ66" s="54">
        <f t="shared" si="67"/>
        <v>0</v>
      </c>
      <c r="BK66" s="57" t="s">
        <v>115</v>
      </c>
      <c r="BL66" s="54">
        <v>18</v>
      </c>
      <c r="BW66" s="54">
        <v>21</v>
      </c>
      <c r="BX66" s="3" t="s">
        <v>242</v>
      </c>
    </row>
    <row r="67" spans="1:76" x14ac:dyDescent="0.25">
      <c r="A67" s="1" t="s">
        <v>267</v>
      </c>
      <c r="B67" s="2" t="s">
        <v>244</v>
      </c>
      <c r="C67" s="83" t="s">
        <v>245</v>
      </c>
      <c r="D67" s="78"/>
      <c r="E67" s="2" t="s">
        <v>111</v>
      </c>
      <c r="F67" s="54">
        <f>'Stavební rozpočet'!F81</f>
        <v>7</v>
      </c>
      <c r="G67" s="54">
        <f>'Stavební rozpočet'!G81</f>
        <v>0</v>
      </c>
      <c r="H67" s="54">
        <f t="shared" si="46"/>
        <v>0</v>
      </c>
      <c r="I67" s="54">
        <f t="shared" si="47"/>
        <v>0</v>
      </c>
      <c r="J67" s="54">
        <f t="shared" si="48"/>
        <v>0</v>
      </c>
      <c r="K67" s="56" t="s">
        <v>120</v>
      </c>
      <c r="Z67" s="54">
        <f t="shared" si="49"/>
        <v>0</v>
      </c>
      <c r="AB67" s="54">
        <f t="shared" si="50"/>
        <v>0</v>
      </c>
      <c r="AC67" s="54">
        <f t="shared" si="51"/>
        <v>0</v>
      </c>
      <c r="AD67" s="54">
        <f t="shared" si="52"/>
        <v>0</v>
      </c>
      <c r="AE67" s="54">
        <f t="shared" si="53"/>
        <v>0</v>
      </c>
      <c r="AF67" s="54">
        <f t="shared" si="54"/>
        <v>0</v>
      </c>
      <c r="AG67" s="54">
        <f t="shared" si="55"/>
        <v>0</v>
      </c>
      <c r="AH67" s="54">
        <f t="shared" si="56"/>
        <v>0</v>
      </c>
      <c r="AI67" s="34" t="s">
        <v>291</v>
      </c>
      <c r="AJ67" s="54">
        <f t="shared" si="57"/>
        <v>0</v>
      </c>
      <c r="AK67" s="54">
        <f t="shared" si="58"/>
        <v>0</v>
      </c>
      <c r="AL67" s="54">
        <f t="shared" si="59"/>
        <v>0</v>
      </c>
      <c r="AN67" s="54">
        <v>21</v>
      </c>
      <c r="AO67" s="54">
        <f>G67*0.005703212</f>
        <v>0</v>
      </c>
      <c r="AP67" s="54">
        <f>G67*(1-0.005703212)</f>
        <v>0</v>
      </c>
      <c r="AQ67" s="57" t="s">
        <v>108</v>
      </c>
      <c r="AV67" s="54">
        <f t="shared" si="60"/>
        <v>0</v>
      </c>
      <c r="AW67" s="54">
        <f t="shared" si="61"/>
        <v>0</v>
      </c>
      <c r="AX67" s="54">
        <f t="shared" si="62"/>
        <v>0</v>
      </c>
      <c r="AY67" s="57" t="s">
        <v>236</v>
      </c>
      <c r="AZ67" s="57" t="s">
        <v>293</v>
      </c>
      <c r="BA67" s="34" t="s">
        <v>294</v>
      </c>
      <c r="BC67" s="54">
        <f t="shared" si="63"/>
        <v>0</v>
      </c>
      <c r="BD67" s="54">
        <f t="shared" si="64"/>
        <v>0</v>
      </c>
      <c r="BE67" s="54">
        <v>0</v>
      </c>
      <c r="BF67" s="54">
        <f>67</f>
        <v>67</v>
      </c>
      <c r="BH67" s="54">
        <f t="shared" si="65"/>
        <v>0</v>
      </c>
      <c r="BI67" s="54">
        <f t="shared" si="66"/>
        <v>0</v>
      </c>
      <c r="BJ67" s="54">
        <f t="shared" si="67"/>
        <v>0</v>
      </c>
      <c r="BK67" s="57" t="s">
        <v>115</v>
      </c>
      <c r="BL67" s="54">
        <v>18</v>
      </c>
      <c r="BW67" s="54">
        <v>21</v>
      </c>
      <c r="BX67" s="3" t="s">
        <v>245</v>
      </c>
    </row>
    <row r="68" spans="1:76" x14ac:dyDescent="0.25">
      <c r="A68" s="1" t="s">
        <v>270</v>
      </c>
      <c r="B68" s="2" t="s">
        <v>253</v>
      </c>
      <c r="C68" s="83" t="s">
        <v>254</v>
      </c>
      <c r="D68" s="78"/>
      <c r="E68" s="2" t="s">
        <v>111</v>
      </c>
      <c r="F68" s="54">
        <f>'Stavební rozpočet'!F82</f>
        <v>7</v>
      </c>
      <c r="G68" s="54">
        <f>'Stavební rozpočet'!G82</f>
        <v>0</v>
      </c>
      <c r="H68" s="54">
        <f t="shared" si="46"/>
        <v>0</v>
      </c>
      <c r="I68" s="54">
        <f t="shared" si="47"/>
        <v>0</v>
      </c>
      <c r="J68" s="54">
        <f t="shared" si="48"/>
        <v>0</v>
      </c>
      <c r="K68" s="56" t="s">
        <v>120</v>
      </c>
      <c r="Z68" s="54">
        <f t="shared" si="49"/>
        <v>0</v>
      </c>
      <c r="AB68" s="54">
        <f t="shared" si="50"/>
        <v>0</v>
      </c>
      <c r="AC68" s="54">
        <f t="shared" si="51"/>
        <v>0</v>
      </c>
      <c r="AD68" s="54">
        <f t="shared" si="52"/>
        <v>0</v>
      </c>
      <c r="AE68" s="54">
        <f t="shared" si="53"/>
        <v>0</v>
      </c>
      <c r="AF68" s="54">
        <f t="shared" si="54"/>
        <v>0</v>
      </c>
      <c r="AG68" s="54">
        <f t="shared" si="55"/>
        <v>0</v>
      </c>
      <c r="AH68" s="54">
        <f t="shared" si="56"/>
        <v>0</v>
      </c>
      <c r="AI68" s="34" t="s">
        <v>291</v>
      </c>
      <c r="AJ68" s="54">
        <f t="shared" si="57"/>
        <v>0</v>
      </c>
      <c r="AK68" s="54">
        <f t="shared" si="58"/>
        <v>0</v>
      </c>
      <c r="AL68" s="54">
        <f t="shared" si="59"/>
        <v>0</v>
      </c>
      <c r="AN68" s="54">
        <v>21</v>
      </c>
      <c r="AO68" s="54">
        <f>G68*0</f>
        <v>0</v>
      </c>
      <c r="AP68" s="54">
        <f>G68*(1-0)</f>
        <v>0</v>
      </c>
      <c r="AQ68" s="57" t="s">
        <v>108</v>
      </c>
      <c r="AV68" s="54">
        <f t="shared" si="60"/>
        <v>0</v>
      </c>
      <c r="AW68" s="54">
        <f t="shared" si="61"/>
        <v>0</v>
      </c>
      <c r="AX68" s="54">
        <f t="shared" si="62"/>
        <v>0</v>
      </c>
      <c r="AY68" s="57" t="s">
        <v>236</v>
      </c>
      <c r="AZ68" s="57" t="s">
        <v>293</v>
      </c>
      <c r="BA68" s="34" t="s">
        <v>294</v>
      </c>
      <c r="BC68" s="54">
        <f t="shared" si="63"/>
        <v>0</v>
      </c>
      <c r="BD68" s="54">
        <f t="shared" si="64"/>
        <v>0</v>
      </c>
      <c r="BE68" s="54">
        <v>0</v>
      </c>
      <c r="BF68" s="54">
        <f>68</f>
        <v>68</v>
      </c>
      <c r="BH68" s="54">
        <f t="shared" si="65"/>
        <v>0</v>
      </c>
      <c r="BI68" s="54">
        <f t="shared" si="66"/>
        <v>0</v>
      </c>
      <c r="BJ68" s="54">
        <f t="shared" si="67"/>
        <v>0</v>
      </c>
      <c r="BK68" s="57" t="s">
        <v>115</v>
      </c>
      <c r="BL68" s="54">
        <v>18</v>
      </c>
      <c r="BW68" s="54">
        <v>21</v>
      </c>
      <c r="BX68" s="3" t="s">
        <v>254</v>
      </c>
    </row>
    <row r="69" spans="1:76" x14ac:dyDescent="0.25">
      <c r="A69" s="1" t="s">
        <v>273</v>
      </c>
      <c r="B69" s="2" t="s">
        <v>247</v>
      </c>
      <c r="C69" s="83" t="s">
        <v>248</v>
      </c>
      <c r="D69" s="78"/>
      <c r="E69" s="2" t="s">
        <v>214</v>
      </c>
      <c r="F69" s="54">
        <f>'Stavební rozpočet'!F83</f>
        <v>7</v>
      </c>
      <c r="G69" s="54">
        <f>'Stavební rozpočet'!G83</f>
        <v>0</v>
      </c>
      <c r="H69" s="54">
        <f t="shared" si="46"/>
        <v>0</v>
      </c>
      <c r="I69" s="54">
        <f t="shared" si="47"/>
        <v>0</v>
      </c>
      <c r="J69" s="54">
        <f t="shared" si="48"/>
        <v>0</v>
      </c>
      <c r="K69" s="56" t="s">
        <v>120</v>
      </c>
      <c r="Z69" s="54">
        <f t="shared" si="49"/>
        <v>0</v>
      </c>
      <c r="AB69" s="54">
        <f t="shared" si="50"/>
        <v>0</v>
      </c>
      <c r="AC69" s="54">
        <f t="shared" si="51"/>
        <v>0</v>
      </c>
      <c r="AD69" s="54">
        <f t="shared" si="52"/>
        <v>0</v>
      </c>
      <c r="AE69" s="54">
        <f t="shared" si="53"/>
        <v>0</v>
      </c>
      <c r="AF69" s="54">
        <f t="shared" si="54"/>
        <v>0</v>
      </c>
      <c r="AG69" s="54">
        <f t="shared" si="55"/>
        <v>0</v>
      </c>
      <c r="AH69" s="54">
        <f t="shared" si="56"/>
        <v>0</v>
      </c>
      <c r="AI69" s="34" t="s">
        <v>291</v>
      </c>
      <c r="AJ69" s="54">
        <f t="shared" si="57"/>
        <v>0</v>
      </c>
      <c r="AK69" s="54">
        <f t="shared" si="58"/>
        <v>0</v>
      </c>
      <c r="AL69" s="54">
        <f t="shared" si="59"/>
        <v>0</v>
      </c>
      <c r="AN69" s="54">
        <v>21</v>
      </c>
      <c r="AO69" s="54">
        <f>G69*0</f>
        <v>0</v>
      </c>
      <c r="AP69" s="54">
        <f>G69*(1-0)</f>
        <v>0</v>
      </c>
      <c r="AQ69" s="57" t="s">
        <v>108</v>
      </c>
      <c r="AV69" s="54">
        <f t="shared" si="60"/>
        <v>0</v>
      </c>
      <c r="AW69" s="54">
        <f t="shared" si="61"/>
        <v>0</v>
      </c>
      <c r="AX69" s="54">
        <f t="shared" si="62"/>
        <v>0</v>
      </c>
      <c r="AY69" s="57" t="s">
        <v>236</v>
      </c>
      <c r="AZ69" s="57" t="s">
        <v>293</v>
      </c>
      <c r="BA69" s="34" t="s">
        <v>294</v>
      </c>
      <c r="BC69" s="54">
        <f t="shared" si="63"/>
        <v>0</v>
      </c>
      <c r="BD69" s="54">
        <f t="shared" si="64"/>
        <v>0</v>
      </c>
      <c r="BE69" s="54">
        <v>0</v>
      </c>
      <c r="BF69" s="54">
        <f>69</f>
        <v>69</v>
      </c>
      <c r="BH69" s="54">
        <f t="shared" si="65"/>
        <v>0</v>
      </c>
      <c r="BI69" s="54">
        <f t="shared" si="66"/>
        <v>0</v>
      </c>
      <c r="BJ69" s="54">
        <f t="shared" si="67"/>
        <v>0</v>
      </c>
      <c r="BK69" s="57" t="s">
        <v>115</v>
      </c>
      <c r="BL69" s="54">
        <v>18</v>
      </c>
      <c r="BW69" s="54">
        <v>21</v>
      </c>
      <c r="BX69" s="3" t="s">
        <v>248</v>
      </c>
    </row>
    <row r="70" spans="1:76" x14ac:dyDescent="0.25">
      <c r="A70" s="1" t="s">
        <v>277</v>
      </c>
      <c r="B70" s="2" t="s">
        <v>305</v>
      </c>
      <c r="C70" s="83" t="s">
        <v>306</v>
      </c>
      <c r="D70" s="78"/>
      <c r="E70" s="2" t="s">
        <v>111</v>
      </c>
      <c r="F70" s="54">
        <f>'Stavební rozpočet'!F84</f>
        <v>7</v>
      </c>
      <c r="G70" s="54">
        <f>'Stavební rozpočet'!G84</f>
        <v>0</v>
      </c>
      <c r="H70" s="54">
        <f t="shared" si="46"/>
        <v>0</v>
      </c>
      <c r="I70" s="54">
        <f t="shared" si="47"/>
        <v>0</v>
      </c>
      <c r="J70" s="54">
        <f t="shared" si="48"/>
        <v>0</v>
      </c>
      <c r="K70" s="56" t="s">
        <v>4</v>
      </c>
      <c r="Z70" s="54">
        <f t="shared" si="49"/>
        <v>0</v>
      </c>
      <c r="AB70" s="54">
        <f t="shared" si="50"/>
        <v>0</v>
      </c>
      <c r="AC70" s="54">
        <f t="shared" si="51"/>
        <v>0</v>
      </c>
      <c r="AD70" s="54">
        <f t="shared" si="52"/>
        <v>0</v>
      </c>
      <c r="AE70" s="54">
        <f t="shared" si="53"/>
        <v>0</v>
      </c>
      <c r="AF70" s="54">
        <f t="shared" si="54"/>
        <v>0</v>
      </c>
      <c r="AG70" s="54">
        <f t="shared" si="55"/>
        <v>0</v>
      </c>
      <c r="AH70" s="54">
        <f t="shared" si="56"/>
        <v>0</v>
      </c>
      <c r="AI70" s="34" t="s">
        <v>291</v>
      </c>
      <c r="AJ70" s="54">
        <f t="shared" si="57"/>
        <v>0</v>
      </c>
      <c r="AK70" s="54">
        <f t="shared" si="58"/>
        <v>0</v>
      </c>
      <c r="AL70" s="54">
        <f t="shared" si="59"/>
        <v>0</v>
      </c>
      <c r="AN70" s="54">
        <v>21</v>
      </c>
      <c r="AO70" s="54">
        <f>G70*0.401227621</f>
        <v>0</v>
      </c>
      <c r="AP70" s="54">
        <f>G70*(1-0.401227621)</f>
        <v>0</v>
      </c>
      <c r="AQ70" s="57" t="s">
        <v>108</v>
      </c>
      <c r="AV70" s="54">
        <f t="shared" si="60"/>
        <v>0</v>
      </c>
      <c r="AW70" s="54">
        <f t="shared" si="61"/>
        <v>0</v>
      </c>
      <c r="AX70" s="54">
        <f t="shared" si="62"/>
        <v>0</v>
      </c>
      <c r="AY70" s="57" t="s">
        <v>236</v>
      </c>
      <c r="AZ70" s="57" t="s">
        <v>293</v>
      </c>
      <c r="BA70" s="34" t="s">
        <v>294</v>
      </c>
      <c r="BC70" s="54">
        <f t="shared" si="63"/>
        <v>0</v>
      </c>
      <c r="BD70" s="54">
        <f t="shared" si="64"/>
        <v>0</v>
      </c>
      <c r="BE70" s="54">
        <v>0</v>
      </c>
      <c r="BF70" s="54">
        <f>70</f>
        <v>70</v>
      </c>
      <c r="BH70" s="54">
        <f t="shared" si="65"/>
        <v>0</v>
      </c>
      <c r="BI70" s="54">
        <f t="shared" si="66"/>
        <v>0</v>
      </c>
      <c r="BJ70" s="54">
        <f t="shared" si="67"/>
        <v>0</v>
      </c>
      <c r="BK70" s="57" t="s">
        <v>115</v>
      </c>
      <c r="BL70" s="54">
        <v>18</v>
      </c>
      <c r="BW70" s="54">
        <v>21</v>
      </c>
      <c r="BX70" s="3" t="s">
        <v>306</v>
      </c>
    </row>
    <row r="71" spans="1:76" x14ac:dyDescent="0.25">
      <c r="A71" s="1" t="s">
        <v>280</v>
      </c>
      <c r="B71" s="2" t="s">
        <v>308</v>
      </c>
      <c r="C71" s="83" t="s">
        <v>309</v>
      </c>
      <c r="D71" s="78"/>
      <c r="E71" s="2" t="s">
        <v>214</v>
      </c>
      <c r="F71" s="54">
        <f>'Stavební rozpočet'!F85</f>
        <v>7</v>
      </c>
      <c r="G71" s="54">
        <f>'Stavební rozpočet'!G85</f>
        <v>0</v>
      </c>
      <c r="H71" s="54">
        <f t="shared" si="46"/>
        <v>0</v>
      </c>
      <c r="I71" s="54">
        <f t="shared" si="47"/>
        <v>0</v>
      </c>
      <c r="J71" s="54">
        <f t="shared" si="48"/>
        <v>0</v>
      </c>
      <c r="K71" s="56" t="s">
        <v>4</v>
      </c>
      <c r="Z71" s="54">
        <f t="shared" si="49"/>
        <v>0</v>
      </c>
      <c r="AB71" s="54">
        <f t="shared" si="50"/>
        <v>0</v>
      </c>
      <c r="AC71" s="54">
        <f t="shared" si="51"/>
        <v>0</v>
      </c>
      <c r="AD71" s="54">
        <f t="shared" si="52"/>
        <v>0</v>
      </c>
      <c r="AE71" s="54">
        <f t="shared" si="53"/>
        <v>0</v>
      </c>
      <c r="AF71" s="54">
        <f t="shared" si="54"/>
        <v>0</v>
      </c>
      <c r="AG71" s="54">
        <f t="shared" si="55"/>
        <v>0</v>
      </c>
      <c r="AH71" s="54">
        <f t="shared" si="56"/>
        <v>0</v>
      </c>
      <c r="AI71" s="34" t="s">
        <v>291</v>
      </c>
      <c r="AJ71" s="54">
        <f t="shared" si="57"/>
        <v>0</v>
      </c>
      <c r="AK71" s="54">
        <f t="shared" si="58"/>
        <v>0</v>
      </c>
      <c r="AL71" s="54">
        <f t="shared" si="59"/>
        <v>0</v>
      </c>
      <c r="AN71" s="54">
        <v>21</v>
      </c>
      <c r="AO71" s="54">
        <f>G71*0</f>
        <v>0</v>
      </c>
      <c r="AP71" s="54">
        <f>G71*(1-0)</f>
        <v>0</v>
      </c>
      <c r="AQ71" s="57" t="s">
        <v>108</v>
      </c>
      <c r="AV71" s="54">
        <f t="shared" si="60"/>
        <v>0</v>
      </c>
      <c r="AW71" s="54">
        <f t="shared" si="61"/>
        <v>0</v>
      </c>
      <c r="AX71" s="54">
        <f t="shared" si="62"/>
        <v>0</v>
      </c>
      <c r="AY71" s="57" t="s">
        <v>236</v>
      </c>
      <c r="AZ71" s="57" t="s">
        <v>293</v>
      </c>
      <c r="BA71" s="34" t="s">
        <v>294</v>
      </c>
      <c r="BC71" s="54">
        <f t="shared" si="63"/>
        <v>0</v>
      </c>
      <c r="BD71" s="54">
        <f t="shared" si="64"/>
        <v>0</v>
      </c>
      <c r="BE71" s="54">
        <v>0</v>
      </c>
      <c r="BF71" s="54">
        <f>71</f>
        <v>71</v>
      </c>
      <c r="BH71" s="54">
        <f t="shared" si="65"/>
        <v>0</v>
      </c>
      <c r="BI71" s="54">
        <f t="shared" si="66"/>
        <v>0</v>
      </c>
      <c r="BJ71" s="54">
        <f t="shared" si="67"/>
        <v>0</v>
      </c>
      <c r="BK71" s="57" t="s">
        <v>115</v>
      </c>
      <c r="BL71" s="54">
        <v>18</v>
      </c>
      <c r="BW71" s="54">
        <v>21</v>
      </c>
      <c r="BX71" s="3" t="s">
        <v>309</v>
      </c>
    </row>
    <row r="72" spans="1:76" x14ac:dyDescent="0.25">
      <c r="A72" s="1" t="s">
        <v>283</v>
      </c>
      <c r="B72" s="2" t="s">
        <v>256</v>
      </c>
      <c r="C72" s="83" t="s">
        <v>257</v>
      </c>
      <c r="D72" s="78"/>
      <c r="E72" s="2" t="s">
        <v>177</v>
      </c>
      <c r="F72" s="54">
        <f>'Stavební rozpočet'!F86</f>
        <v>1</v>
      </c>
      <c r="G72" s="54">
        <f>'Stavební rozpočet'!G86</f>
        <v>0</v>
      </c>
      <c r="H72" s="54">
        <f t="shared" si="46"/>
        <v>0</v>
      </c>
      <c r="I72" s="54">
        <f t="shared" si="47"/>
        <v>0</v>
      </c>
      <c r="J72" s="54">
        <f t="shared" si="48"/>
        <v>0</v>
      </c>
      <c r="K72" s="56" t="s">
        <v>120</v>
      </c>
      <c r="Z72" s="54">
        <f t="shared" si="49"/>
        <v>0</v>
      </c>
      <c r="AB72" s="54">
        <f t="shared" si="50"/>
        <v>0</v>
      </c>
      <c r="AC72" s="54">
        <f t="shared" si="51"/>
        <v>0</v>
      </c>
      <c r="AD72" s="54">
        <f t="shared" si="52"/>
        <v>0</v>
      </c>
      <c r="AE72" s="54">
        <f t="shared" si="53"/>
        <v>0</v>
      </c>
      <c r="AF72" s="54">
        <f t="shared" si="54"/>
        <v>0</v>
      </c>
      <c r="AG72" s="54">
        <f t="shared" si="55"/>
        <v>0</v>
      </c>
      <c r="AH72" s="54">
        <f t="shared" si="56"/>
        <v>0</v>
      </c>
      <c r="AI72" s="34" t="s">
        <v>291</v>
      </c>
      <c r="AJ72" s="54">
        <f t="shared" si="57"/>
        <v>0</v>
      </c>
      <c r="AK72" s="54">
        <f t="shared" si="58"/>
        <v>0</v>
      </c>
      <c r="AL72" s="54">
        <f t="shared" si="59"/>
        <v>0</v>
      </c>
      <c r="AN72" s="54">
        <v>21</v>
      </c>
      <c r="AO72" s="54">
        <f>G72*0</f>
        <v>0</v>
      </c>
      <c r="AP72" s="54">
        <f>G72*(1-0)</f>
        <v>0</v>
      </c>
      <c r="AQ72" s="57" t="s">
        <v>108</v>
      </c>
      <c r="AV72" s="54">
        <f t="shared" si="60"/>
        <v>0</v>
      </c>
      <c r="AW72" s="54">
        <f t="shared" si="61"/>
        <v>0</v>
      </c>
      <c r="AX72" s="54">
        <f t="shared" si="62"/>
        <v>0</v>
      </c>
      <c r="AY72" s="57" t="s">
        <v>236</v>
      </c>
      <c r="AZ72" s="57" t="s">
        <v>293</v>
      </c>
      <c r="BA72" s="34" t="s">
        <v>294</v>
      </c>
      <c r="BC72" s="54">
        <f t="shared" si="63"/>
        <v>0</v>
      </c>
      <c r="BD72" s="54">
        <f t="shared" si="64"/>
        <v>0</v>
      </c>
      <c r="BE72" s="54">
        <v>0</v>
      </c>
      <c r="BF72" s="54">
        <f>72</f>
        <v>72</v>
      </c>
      <c r="BH72" s="54">
        <f t="shared" si="65"/>
        <v>0</v>
      </c>
      <c r="BI72" s="54">
        <f t="shared" si="66"/>
        <v>0</v>
      </c>
      <c r="BJ72" s="54">
        <f t="shared" si="67"/>
        <v>0</v>
      </c>
      <c r="BK72" s="57" t="s">
        <v>115</v>
      </c>
      <c r="BL72" s="54">
        <v>18</v>
      </c>
      <c r="BW72" s="54">
        <v>21</v>
      </c>
      <c r="BX72" s="3" t="s">
        <v>257</v>
      </c>
    </row>
    <row r="73" spans="1:76" x14ac:dyDescent="0.25">
      <c r="A73" s="49" t="s">
        <v>4</v>
      </c>
      <c r="B73" s="50" t="s">
        <v>258</v>
      </c>
      <c r="C73" s="161" t="s">
        <v>259</v>
      </c>
      <c r="D73" s="162"/>
      <c r="E73" s="51" t="s">
        <v>69</v>
      </c>
      <c r="F73" s="51" t="s">
        <v>69</v>
      </c>
      <c r="G73" s="51" t="s">
        <v>69</v>
      </c>
      <c r="H73" s="28">
        <f>SUM(H74:H74)</f>
        <v>0</v>
      </c>
      <c r="I73" s="28">
        <f>SUM(I74:I74)</f>
        <v>0</v>
      </c>
      <c r="J73" s="28">
        <f>SUM(J74:J74)</f>
        <v>0</v>
      </c>
      <c r="K73" s="53" t="s">
        <v>4</v>
      </c>
      <c r="AI73" s="34" t="s">
        <v>291</v>
      </c>
      <c r="AS73" s="28">
        <f>SUM(AJ74:AJ74)</f>
        <v>0</v>
      </c>
      <c r="AT73" s="28">
        <f>SUM(AK74:AK74)</f>
        <v>0</v>
      </c>
      <c r="AU73" s="28">
        <f>SUM(AL74:AL74)</f>
        <v>0</v>
      </c>
    </row>
    <row r="74" spans="1:76" x14ac:dyDescent="0.25">
      <c r="A74" s="1" t="s">
        <v>286</v>
      </c>
      <c r="B74" s="2" t="s">
        <v>219</v>
      </c>
      <c r="C74" s="83" t="s">
        <v>220</v>
      </c>
      <c r="D74" s="78"/>
      <c r="E74" s="2" t="s">
        <v>136</v>
      </c>
      <c r="F74" s="54">
        <f>'Stavební rozpočet'!F88</f>
        <v>1.78</v>
      </c>
      <c r="G74" s="54">
        <f>'Stavební rozpočet'!G88</f>
        <v>0</v>
      </c>
      <c r="H74" s="54">
        <f>ROUND(F74*AO74,2)</f>
        <v>0</v>
      </c>
      <c r="I74" s="54">
        <f>ROUND(F74*AP74,2)</f>
        <v>0</v>
      </c>
      <c r="J74" s="54">
        <f>ROUND(F74*G74,2)</f>
        <v>0</v>
      </c>
      <c r="K74" s="56" t="s">
        <v>120</v>
      </c>
      <c r="Z74" s="54">
        <f>ROUND(IF(AQ74="5",BJ74,0),2)</f>
        <v>0</v>
      </c>
      <c r="AB74" s="54">
        <f>ROUND(IF(AQ74="1",BH74,0),2)</f>
        <v>0</v>
      </c>
      <c r="AC74" s="54">
        <f>ROUND(IF(AQ74="1",BI74,0),2)</f>
        <v>0</v>
      </c>
      <c r="AD74" s="54">
        <f>ROUND(IF(AQ74="7",BH74,0),2)</f>
        <v>0</v>
      </c>
      <c r="AE74" s="54">
        <f>ROUND(IF(AQ74="7",BI74,0),2)</f>
        <v>0</v>
      </c>
      <c r="AF74" s="54">
        <f>ROUND(IF(AQ74="2",BH74,0),2)</f>
        <v>0</v>
      </c>
      <c r="AG74" s="54">
        <f>ROUND(IF(AQ74="2",BI74,0),2)</f>
        <v>0</v>
      </c>
      <c r="AH74" s="54">
        <f>ROUND(IF(AQ74="0",BJ74,0),2)</f>
        <v>0</v>
      </c>
      <c r="AI74" s="34" t="s">
        <v>291</v>
      </c>
      <c r="AJ74" s="54">
        <f>IF(AN74=0,J74,0)</f>
        <v>0</v>
      </c>
      <c r="AK74" s="54">
        <f>IF(AN74=0,J74,0)</f>
        <v>0</v>
      </c>
      <c r="AL74" s="54">
        <f>IF(AN74=21,J74,0)</f>
        <v>0</v>
      </c>
      <c r="AN74" s="54">
        <v>21</v>
      </c>
      <c r="AO74" s="54">
        <f>G74*0</f>
        <v>0</v>
      </c>
      <c r="AP74" s="54">
        <f>G74*(1-0)</f>
        <v>0</v>
      </c>
      <c r="AQ74" s="57" t="s">
        <v>129</v>
      </c>
      <c r="AV74" s="54">
        <f>ROUND(AW74+AX74,2)</f>
        <v>0</v>
      </c>
      <c r="AW74" s="54">
        <f>ROUND(F74*AO74,2)</f>
        <v>0</v>
      </c>
      <c r="AX74" s="54">
        <f>ROUND(F74*AP74,2)</f>
        <v>0</v>
      </c>
      <c r="AY74" s="57" t="s">
        <v>261</v>
      </c>
      <c r="AZ74" s="57" t="s">
        <v>312</v>
      </c>
      <c r="BA74" s="34" t="s">
        <v>294</v>
      </c>
      <c r="BC74" s="54">
        <f>AW74+AX74</f>
        <v>0</v>
      </c>
      <c r="BD74" s="54">
        <f>G74/(100-BE74)*100</f>
        <v>0</v>
      </c>
      <c r="BE74" s="54">
        <v>0</v>
      </c>
      <c r="BF74" s="54">
        <f>74</f>
        <v>74</v>
      </c>
      <c r="BH74" s="54">
        <f>F74*AO74</f>
        <v>0</v>
      </c>
      <c r="BI74" s="54">
        <f>F74*AP74</f>
        <v>0</v>
      </c>
      <c r="BJ74" s="54">
        <f>F74*G74</f>
        <v>0</v>
      </c>
      <c r="BK74" s="57" t="s">
        <v>115</v>
      </c>
      <c r="BL74" s="54"/>
      <c r="BW74" s="54">
        <v>21</v>
      </c>
      <c r="BX74" s="3" t="s">
        <v>220</v>
      </c>
    </row>
    <row r="75" spans="1:76" x14ac:dyDescent="0.25">
      <c r="A75" s="60" t="s">
        <v>4</v>
      </c>
      <c r="B75" s="61" t="s">
        <v>4</v>
      </c>
      <c r="C75" s="167" t="s">
        <v>326</v>
      </c>
      <c r="D75" s="168"/>
      <c r="E75" s="62" t="s">
        <v>69</v>
      </c>
      <c r="F75" s="62" t="s">
        <v>69</v>
      </c>
      <c r="G75" s="62" t="s">
        <v>69</v>
      </c>
      <c r="H75" s="63">
        <f>H76+H86</f>
        <v>0</v>
      </c>
      <c r="I75" s="63">
        <f>I76+I86</f>
        <v>0</v>
      </c>
      <c r="J75" s="63">
        <f>J76+J86</f>
        <v>0</v>
      </c>
      <c r="K75" s="64" t="s">
        <v>4</v>
      </c>
    </row>
    <row r="76" spans="1:76" x14ac:dyDescent="0.25">
      <c r="A76" s="49" t="s">
        <v>4</v>
      </c>
      <c r="B76" s="50" t="s">
        <v>182</v>
      </c>
      <c r="C76" s="161" t="s">
        <v>232</v>
      </c>
      <c r="D76" s="162"/>
      <c r="E76" s="51" t="s">
        <v>69</v>
      </c>
      <c r="F76" s="51" t="s">
        <v>69</v>
      </c>
      <c r="G76" s="51" t="s">
        <v>69</v>
      </c>
      <c r="H76" s="28">
        <f>SUM(H77:H85)</f>
        <v>0</v>
      </c>
      <c r="I76" s="28">
        <f>SUM(I77:I85)</f>
        <v>0</v>
      </c>
      <c r="J76" s="28">
        <f>SUM(J77:J85)</f>
        <v>0</v>
      </c>
      <c r="K76" s="53" t="s">
        <v>4</v>
      </c>
      <c r="AI76" s="34" t="s">
        <v>327</v>
      </c>
      <c r="AS76" s="28">
        <f>SUM(AJ77:AJ85)</f>
        <v>0</v>
      </c>
      <c r="AT76" s="28">
        <f>SUM(AK77:AK85)</f>
        <v>0</v>
      </c>
      <c r="AU76" s="28">
        <f>SUM(AL77:AL85)</f>
        <v>0</v>
      </c>
    </row>
    <row r="77" spans="1:76" x14ac:dyDescent="0.25">
      <c r="A77" s="1" t="s">
        <v>292</v>
      </c>
      <c r="B77" s="2" t="s">
        <v>329</v>
      </c>
      <c r="C77" s="83" t="s">
        <v>330</v>
      </c>
      <c r="D77" s="78"/>
      <c r="E77" s="2" t="s">
        <v>119</v>
      </c>
      <c r="F77" s="54">
        <f>'Stavební rozpočet'!F101</f>
        <v>192</v>
      </c>
      <c r="G77" s="54">
        <f>'Stavební rozpočet'!G101</f>
        <v>0</v>
      </c>
      <c r="H77" s="54">
        <f t="shared" ref="H77:H85" si="68">ROUND(F77*AO77,2)</f>
        <v>0</v>
      </c>
      <c r="I77" s="54">
        <f t="shared" ref="I77:I85" si="69">ROUND(F77*AP77,2)</f>
        <v>0</v>
      </c>
      <c r="J77" s="54">
        <f t="shared" ref="J77:J85" si="70">ROUND(F77*G77,2)</f>
        <v>0</v>
      </c>
      <c r="K77" s="56" t="s">
        <v>120</v>
      </c>
      <c r="Z77" s="54">
        <f t="shared" ref="Z77:Z85" si="71">ROUND(IF(AQ77="5",BJ77,0),2)</f>
        <v>0</v>
      </c>
      <c r="AB77" s="54">
        <f t="shared" ref="AB77:AB85" si="72">ROUND(IF(AQ77="1",BH77,0),2)</f>
        <v>0</v>
      </c>
      <c r="AC77" s="54">
        <f t="shared" ref="AC77:AC85" si="73">ROUND(IF(AQ77="1",BI77,0),2)</f>
        <v>0</v>
      </c>
      <c r="AD77" s="54">
        <f t="shared" ref="AD77:AD85" si="74">ROUND(IF(AQ77="7",BH77,0),2)</f>
        <v>0</v>
      </c>
      <c r="AE77" s="54">
        <f t="shared" ref="AE77:AE85" si="75">ROUND(IF(AQ77="7",BI77,0),2)</f>
        <v>0</v>
      </c>
      <c r="AF77" s="54">
        <f t="shared" ref="AF77:AF85" si="76">ROUND(IF(AQ77="2",BH77,0),2)</f>
        <v>0</v>
      </c>
      <c r="AG77" s="54">
        <f t="shared" ref="AG77:AG85" si="77">ROUND(IF(AQ77="2",BI77,0),2)</f>
        <v>0</v>
      </c>
      <c r="AH77" s="54">
        <f t="shared" ref="AH77:AH85" si="78">ROUND(IF(AQ77="0",BJ77,0),2)</f>
        <v>0</v>
      </c>
      <c r="AI77" s="34" t="s">
        <v>327</v>
      </c>
      <c r="AJ77" s="54">
        <f t="shared" ref="AJ77:AJ85" si="79">IF(AN77=0,J77,0)</f>
        <v>0</v>
      </c>
      <c r="AK77" s="54">
        <f t="shared" ref="AK77:AK85" si="80">IF(AN77=0,J77,0)</f>
        <v>0</v>
      </c>
      <c r="AL77" s="54">
        <f t="shared" ref="AL77:AL85" si="81">IF(AN77=21,J77,0)</f>
        <v>0</v>
      </c>
      <c r="AN77" s="54">
        <v>21</v>
      </c>
      <c r="AO77" s="54">
        <f>G77*0.006557377</f>
        <v>0</v>
      </c>
      <c r="AP77" s="54">
        <f>G77*(1-0.006557377)</f>
        <v>0</v>
      </c>
      <c r="AQ77" s="57" t="s">
        <v>108</v>
      </c>
      <c r="AV77" s="54">
        <f t="shared" ref="AV77:AV85" si="82">ROUND(AW77+AX77,2)</f>
        <v>0</v>
      </c>
      <c r="AW77" s="54">
        <f t="shared" ref="AW77:AW85" si="83">ROUND(F77*AO77,2)</f>
        <v>0</v>
      </c>
      <c r="AX77" s="54">
        <f t="shared" ref="AX77:AX85" si="84">ROUND(F77*AP77,2)</f>
        <v>0</v>
      </c>
      <c r="AY77" s="57" t="s">
        <v>236</v>
      </c>
      <c r="AZ77" s="57" t="s">
        <v>331</v>
      </c>
      <c r="BA77" s="34" t="s">
        <v>332</v>
      </c>
      <c r="BC77" s="54">
        <f t="shared" ref="BC77:BC85" si="85">AW77+AX77</f>
        <v>0</v>
      </c>
      <c r="BD77" s="54">
        <f t="shared" ref="BD77:BD85" si="86">G77/(100-BE77)*100</f>
        <v>0</v>
      </c>
      <c r="BE77" s="54">
        <v>0</v>
      </c>
      <c r="BF77" s="54">
        <f>77</f>
        <v>77</v>
      </c>
      <c r="BH77" s="54">
        <f t="shared" ref="BH77:BH85" si="87">F77*AO77</f>
        <v>0</v>
      </c>
      <c r="BI77" s="54">
        <f t="shared" ref="BI77:BI85" si="88">F77*AP77</f>
        <v>0</v>
      </c>
      <c r="BJ77" s="54">
        <f t="shared" ref="BJ77:BJ85" si="89">F77*G77</f>
        <v>0</v>
      </c>
      <c r="BK77" s="57" t="s">
        <v>115</v>
      </c>
      <c r="BL77" s="54">
        <v>18</v>
      </c>
      <c r="BW77" s="54">
        <v>21</v>
      </c>
      <c r="BX77" s="3" t="s">
        <v>330</v>
      </c>
    </row>
    <row r="78" spans="1:76" x14ac:dyDescent="0.25">
      <c r="A78" s="1" t="s">
        <v>295</v>
      </c>
      <c r="B78" s="2" t="s">
        <v>334</v>
      </c>
      <c r="C78" s="83" t="s">
        <v>335</v>
      </c>
      <c r="D78" s="78"/>
      <c r="E78" s="2" t="s">
        <v>119</v>
      </c>
      <c r="F78" s="54">
        <f>'Stavební rozpočet'!F102</f>
        <v>192</v>
      </c>
      <c r="G78" s="54">
        <f>'Stavební rozpočet'!G102</f>
        <v>0</v>
      </c>
      <c r="H78" s="54">
        <f t="shared" si="68"/>
        <v>0</v>
      </c>
      <c r="I78" s="54">
        <f t="shared" si="69"/>
        <v>0</v>
      </c>
      <c r="J78" s="54">
        <f t="shared" si="70"/>
        <v>0</v>
      </c>
      <c r="K78" s="56" t="s">
        <v>120</v>
      </c>
      <c r="Z78" s="54">
        <f t="shared" si="71"/>
        <v>0</v>
      </c>
      <c r="AB78" s="54">
        <f t="shared" si="72"/>
        <v>0</v>
      </c>
      <c r="AC78" s="54">
        <f t="shared" si="73"/>
        <v>0</v>
      </c>
      <c r="AD78" s="54">
        <f t="shared" si="74"/>
        <v>0</v>
      </c>
      <c r="AE78" s="54">
        <f t="shared" si="75"/>
        <v>0</v>
      </c>
      <c r="AF78" s="54">
        <f t="shared" si="76"/>
        <v>0</v>
      </c>
      <c r="AG78" s="54">
        <f t="shared" si="77"/>
        <v>0</v>
      </c>
      <c r="AH78" s="54">
        <f t="shared" si="78"/>
        <v>0</v>
      </c>
      <c r="AI78" s="34" t="s">
        <v>327</v>
      </c>
      <c r="AJ78" s="54">
        <f t="shared" si="79"/>
        <v>0</v>
      </c>
      <c r="AK78" s="54">
        <f t="shared" si="80"/>
        <v>0</v>
      </c>
      <c r="AL78" s="54">
        <f t="shared" si="81"/>
        <v>0</v>
      </c>
      <c r="AN78" s="54">
        <v>21</v>
      </c>
      <c r="AO78" s="54">
        <f>G78*0</f>
        <v>0</v>
      </c>
      <c r="AP78" s="54">
        <f>G78*(1-0)</f>
        <v>0</v>
      </c>
      <c r="AQ78" s="57" t="s">
        <v>108</v>
      </c>
      <c r="AV78" s="54">
        <f t="shared" si="82"/>
        <v>0</v>
      </c>
      <c r="AW78" s="54">
        <f t="shared" si="83"/>
        <v>0</v>
      </c>
      <c r="AX78" s="54">
        <f t="shared" si="84"/>
        <v>0</v>
      </c>
      <c r="AY78" s="57" t="s">
        <v>236</v>
      </c>
      <c r="AZ78" s="57" t="s">
        <v>331</v>
      </c>
      <c r="BA78" s="34" t="s">
        <v>332</v>
      </c>
      <c r="BC78" s="54">
        <f t="shared" si="85"/>
        <v>0</v>
      </c>
      <c r="BD78" s="54">
        <f t="shared" si="86"/>
        <v>0</v>
      </c>
      <c r="BE78" s="54">
        <v>0</v>
      </c>
      <c r="BF78" s="54">
        <f>78</f>
        <v>78</v>
      </c>
      <c r="BH78" s="54">
        <f t="shared" si="87"/>
        <v>0</v>
      </c>
      <c r="BI78" s="54">
        <f t="shared" si="88"/>
        <v>0</v>
      </c>
      <c r="BJ78" s="54">
        <f t="shared" si="89"/>
        <v>0</v>
      </c>
      <c r="BK78" s="57" t="s">
        <v>115</v>
      </c>
      <c r="BL78" s="54">
        <v>18</v>
      </c>
      <c r="BW78" s="54">
        <v>21</v>
      </c>
      <c r="BX78" s="3" t="s">
        <v>335</v>
      </c>
    </row>
    <row r="79" spans="1:76" x14ac:dyDescent="0.25">
      <c r="A79" s="1" t="s">
        <v>298</v>
      </c>
      <c r="B79" s="2" t="s">
        <v>337</v>
      </c>
      <c r="C79" s="83" t="s">
        <v>338</v>
      </c>
      <c r="D79" s="78"/>
      <c r="E79" s="2" t="s">
        <v>119</v>
      </c>
      <c r="F79" s="54">
        <f>'Stavební rozpočet'!F103</f>
        <v>192</v>
      </c>
      <c r="G79" s="54">
        <f>'Stavební rozpočet'!G103</f>
        <v>0</v>
      </c>
      <c r="H79" s="54">
        <f t="shared" si="68"/>
        <v>0</v>
      </c>
      <c r="I79" s="54">
        <f t="shared" si="69"/>
        <v>0</v>
      </c>
      <c r="J79" s="54">
        <f t="shared" si="70"/>
        <v>0</v>
      </c>
      <c r="K79" s="56" t="s">
        <v>120</v>
      </c>
      <c r="Z79" s="54">
        <f t="shared" si="71"/>
        <v>0</v>
      </c>
      <c r="AB79" s="54">
        <f t="shared" si="72"/>
        <v>0</v>
      </c>
      <c r="AC79" s="54">
        <f t="shared" si="73"/>
        <v>0</v>
      </c>
      <c r="AD79" s="54">
        <f t="shared" si="74"/>
        <v>0</v>
      </c>
      <c r="AE79" s="54">
        <f t="shared" si="75"/>
        <v>0</v>
      </c>
      <c r="AF79" s="54">
        <f t="shared" si="76"/>
        <v>0</v>
      </c>
      <c r="AG79" s="54">
        <f t="shared" si="77"/>
        <v>0</v>
      </c>
      <c r="AH79" s="54">
        <f t="shared" si="78"/>
        <v>0</v>
      </c>
      <c r="AI79" s="34" t="s">
        <v>327</v>
      </c>
      <c r="AJ79" s="54">
        <f t="shared" si="79"/>
        <v>0</v>
      </c>
      <c r="AK79" s="54">
        <f t="shared" si="80"/>
        <v>0</v>
      </c>
      <c r="AL79" s="54">
        <f t="shared" si="81"/>
        <v>0</v>
      </c>
      <c r="AN79" s="54">
        <v>21</v>
      </c>
      <c r="AO79" s="54">
        <f>G79*0</f>
        <v>0</v>
      </c>
      <c r="AP79" s="54">
        <f>G79*(1-0)</f>
        <v>0</v>
      </c>
      <c r="AQ79" s="57" t="s">
        <v>108</v>
      </c>
      <c r="AV79" s="54">
        <f t="shared" si="82"/>
        <v>0</v>
      </c>
      <c r="AW79" s="54">
        <f t="shared" si="83"/>
        <v>0</v>
      </c>
      <c r="AX79" s="54">
        <f t="shared" si="84"/>
        <v>0</v>
      </c>
      <c r="AY79" s="57" t="s">
        <v>236</v>
      </c>
      <c r="AZ79" s="57" t="s">
        <v>331</v>
      </c>
      <c r="BA79" s="34" t="s">
        <v>332</v>
      </c>
      <c r="BC79" s="54">
        <f t="shared" si="85"/>
        <v>0</v>
      </c>
      <c r="BD79" s="54">
        <f t="shared" si="86"/>
        <v>0</v>
      </c>
      <c r="BE79" s="54">
        <v>0</v>
      </c>
      <c r="BF79" s="54">
        <f>79</f>
        <v>79</v>
      </c>
      <c r="BH79" s="54">
        <f t="shared" si="87"/>
        <v>0</v>
      </c>
      <c r="BI79" s="54">
        <f t="shared" si="88"/>
        <v>0</v>
      </c>
      <c r="BJ79" s="54">
        <f t="shared" si="89"/>
        <v>0</v>
      </c>
      <c r="BK79" s="57" t="s">
        <v>115</v>
      </c>
      <c r="BL79" s="54">
        <v>18</v>
      </c>
      <c r="BW79" s="54">
        <v>21</v>
      </c>
      <c r="BX79" s="3" t="s">
        <v>338</v>
      </c>
    </row>
    <row r="80" spans="1:76" x14ac:dyDescent="0.25">
      <c r="A80" s="1" t="s">
        <v>300</v>
      </c>
      <c r="B80" s="2" t="s">
        <v>340</v>
      </c>
      <c r="C80" s="83" t="s">
        <v>341</v>
      </c>
      <c r="D80" s="78"/>
      <c r="E80" s="2" t="s">
        <v>111</v>
      </c>
      <c r="F80" s="54">
        <f>'Stavební rozpočet'!F104</f>
        <v>997</v>
      </c>
      <c r="G80" s="54">
        <f>'Stavební rozpočet'!G104</f>
        <v>0</v>
      </c>
      <c r="H80" s="54">
        <f t="shared" si="68"/>
        <v>0</v>
      </c>
      <c r="I80" s="54">
        <f t="shared" si="69"/>
        <v>0</v>
      </c>
      <c r="J80" s="54">
        <f t="shared" si="70"/>
        <v>0</v>
      </c>
      <c r="K80" s="56" t="s">
        <v>120</v>
      </c>
      <c r="Z80" s="54">
        <f t="shared" si="71"/>
        <v>0</v>
      </c>
      <c r="AB80" s="54">
        <f t="shared" si="72"/>
        <v>0</v>
      </c>
      <c r="AC80" s="54">
        <f t="shared" si="73"/>
        <v>0</v>
      </c>
      <c r="AD80" s="54">
        <f t="shared" si="74"/>
        <v>0</v>
      </c>
      <c r="AE80" s="54">
        <f t="shared" si="75"/>
        <v>0</v>
      </c>
      <c r="AF80" s="54">
        <f t="shared" si="76"/>
        <v>0</v>
      </c>
      <c r="AG80" s="54">
        <f t="shared" si="77"/>
        <v>0</v>
      </c>
      <c r="AH80" s="54">
        <f t="shared" si="78"/>
        <v>0</v>
      </c>
      <c r="AI80" s="34" t="s">
        <v>327</v>
      </c>
      <c r="AJ80" s="54">
        <f t="shared" si="79"/>
        <v>0</v>
      </c>
      <c r="AK80" s="54">
        <f t="shared" si="80"/>
        <v>0</v>
      </c>
      <c r="AL80" s="54">
        <f t="shared" si="81"/>
        <v>0</v>
      </c>
      <c r="AN80" s="54">
        <v>21</v>
      </c>
      <c r="AO80" s="54">
        <f>G80*0</f>
        <v>0</v>
      </c>
      <c r="AP80" s="54">
        <f>G80*(1-0)</f>
        <v>0</v>
      </c>
      <c r="AQ80" s="57" t="s">
        <v>108</v>
      </c>
      <c r="AV80" s="54">
        <f t="shared" si="82"/>
        <v>0</v>
      </c>
      <c r="AW80" s="54">
        <f t="shared" si="83"/>
        <v>0</v>
      </c>
      <c r="AX80" s="54">
        <f t="shared" si="84"/>
        <v>0</v>
      </c>
      <c r="AY80" s="57" t="s">
        <v>236</v>
      </c>
      <c r="AZ80" s="57" t="s">
        <v>331</v>
      </c>
      <c r="BA80" s="34" t="s">
        <v>332</v>
      </c>
      <c r="BC80" s="54">
        <f t="shared" si="85"/>
        <v>0</v>
      </c>
      <c r="BD80" s="54">
        <f t="shared" si="86"/>
        <v>0</v>
      </c>
      <c r="BE80" s="54">
        <v>0</v>
      </c>
      <c r="BF80" s="54">
        <f>80</f>
        <v>80</v>
      </c>
      <c r="BH80" s="54">
        <f t="shared" si="87"/>
        <v>0</v>
      </c>
      <c r="BI80" s="54">
        <f t="shared" si="88"/>
        <v>0</v>
      </c>
      <c r="BJ80" s="54">
        <f t="shared" si="89"/>
        <v>0</v>
      </c>
      <c r="BK80" s="57" t="s">
        <v>115</v>
      </c>
      <c r="BL80" s="54">
        <v>18</v>
      </c>
      <c r="BW80" s="54">
        <v>21</v>
      </c>
      <c r="BX80" s="3" t="s">
        <v>341</v>
      </c>
    </row>
    <row r="81" spans="1:76" x14ac:dyDescent="0.25">
      <c r="A81" s="1" t="s">
        <v>301</v>
      </c>
      <c r="B81" s="2" t="s">
        <v>343</v>
      </c>
      <c r="C81" s="83" t="s">
        <v>344</v>
      </c>
      <c r="D81" s="78"/>
      <c r="E81" s="2" t="s">
        <v>111</v>
      </c>
      <c r="F81" s="54">
        <f>'Stavební rozpočet'!F105</f>
        <v>997</v>
      </c>
      <c r="G81" s="54">
        <f>'Stavební rozpočet'!G105</f>
        <v>0</v>
      </c>
      <c r="H81" s="54">
        <f t="shared" si="68"/>
        <v>0</v>
      </c>
      <c r="I81" s="54">
        <f t="shared" si="69"/>
        <v>0</v>
      </c>
      <c r="J81" s="54">
        <f t="shared" si="70"/>
        <v>0</v>
      </c>
      <c r="K81" s="56" t="s">
        <v>120</v>
      </c>
      <c r="Z81" s="54">
        <f t="shared" si="71"/>
        <v>0</v>
      </c>
      <c r="AB81" s="54">
        <f t="shared" si="72"/>
        <v>0</v>
      </c>
      <c r="AC81" s="54">
        <f t="shared" si="73"/>
        <v>0</v>
      </c>
      <c r="AD81" s="54">
        <f t="shared" si="74"/>
        <v>0</v>
      </c>
      <c r="AE81" s="54">
        <f t="shared" si="75"/>
        <v>0</v>
      </c>
      <c r="AF81" s="54">
        <f t="shared" si="76"/>
        <v>0</v>
      </c>
      <c r="AG81" s="54">
        <f t="shared" si="77"/>
        <v>0</v>
      </c>
      <c r="AH81" s="54">
        <f t="shared" si="78"/>
        <v>0</v>
      </c>
      <c r="AI81" s="34" t="s">
        <v>327</v>
      </c>
      <c r="AJ81" s="54">
        <f t="shared" si="79"/>
        <v>0</v>
      </c>
      <c r="AK81" s="54">
        <f t="shared" si="80"/>
        <v>0</v>
      </c>
      <c r="AL81" s="54">
        <f t="shared" si="81"/>
        <v>0</v>
      </c>
      <c r="AN81" s="54">
        <v>21</v>
      </c>
      <c r="AO81" s="54">
        <f>G81*0.009667025</f>
        <v>0</v>
      </c>
      <c r="AP81" s="54">
        <f>G81*(1-0.009667025)</f>
        <v>0</v>
      </c>
      <c r="AQ81" s="57" t="s">
        <v>108</v>
      </c>
      <c r="AV81" s="54">
        <f t="shared" si="82"/>
        <v>0</v>
      </c>
      <c r="AW81" s="54">
        <f t="shared" si="83"/>
        <v>0</v>
      </c>
      <c r="AX81" s="54">
        <f t="shared" si="84"/>
        <v>0</v>
      </c>
      <c r="AY81" s="57" t="s">
        <v>236</v>
      </c>
      <c r="AZ81" s="57" t="s">
        <v>331</v>
      </c>
      <c r="BA81" s="34" t="s">
        <v>332</v>
      </c>
      <c r="BC81" s="54">
        <f t="shared" si="85"/>
        <v>0</v>
      </c>
      <c r="BD81" s="54">
        <f t="shared" si="86"/>
        <v>0</v>
      </c>
      <c r="BE81" s="54">
        <v>0</v>
      </c>
      <c r="BF81" s="54">
        <f>81</f>
        <v>81</v>
      </c>
      <c r="BH81" s="54">
        <f t="shared" si="87"/>
        <v>0</v>
      </c>
      <c r="BI81" s="54">
        <f t="shared" si="88"/>
        <v>0</v>
      </c>
      <c r="BJ81" s="54">
        <f t="shared" si="89"/>
        <v>0</v>
      </c>
      <c r="BK81" s="57" t="s">
        <v>115</v>
      </c>
      <c r="BL81" s="54">
        <v>18</v>
      </c>
      <c r="BW81" s="54">
        <v>21</v>
      </c>
      <c r="BX81" s="3" t="s">
        <v>344</v>
      </c>
    </row>
    <row r="82" spans="1:76" x14ac:dyDescent="0.25">
      <c r="A82" s="1" t="s">
        <v>302</v>
      </c>
      <c r="B82" s="2" t="s">
        <v>346</v>
      </c>
      <c r="C82" s="83" t="s">
        <v>347</v>
      </c>
      <c r="D82" s="78"/>
      <c r="E82" s="2" t="s">
        <v>111</v>
      </c>
      <c r="F82" s="54">
        <f>'Stavební rozpočet'!F106</f>
        <v>75</v>
      </c>
      <c r="G82" s="54">
        <f>'Stavební rozpočet'!G106</f>
        <v>0</v>
      </c>
      <c r="H82" s="54">
        <f t="shared" si="68"/>
        <v>0</v>
      </c>
      <c r="I82" s="54">
        <f t="shared" si="69"/>
        <v>0</v>
      </c>
      <c r="J82" s="54">
        <f t="shared" si="70"/>
        <v>0</v>
      </c>
      <c r="K82" s="56" t="s">
        <v>120</v>
      </c>
      <c r="Z82" s="54">
        <f t="shared" si="71"/>
        <v>0</v>
      </c>
      <c r="AB82" s="54">
        <f t="shared" si="72"/>
        <v>0</v>
      </c>
      <c r="AC82" s="54">
        <f t="shared" si="73"/>
        <v>0</v>
      </c>
      <c r="AD82" s="54">
        <f t="shared" si="74"/>
        <v>0</v>
      </c>
      <c r="AE82" s="54">
        <f t="shared" si="75"/>
        <v>0</v>
      </c>
      <c r="AF82" s="54">
        <f t="shared" si="76"/>
        <v>0</v>
      </c>
      <c r="AG82" s="54">
        <f t="shared" si="77"/>
        <v>0</v>
      </c>
      <c r="AH82" s="54">
        <f t="shared" si="78"/>
        <v>0</v>
      </c>
      <c r="AI82" s="34" t="s">
        <v>327</v>
      </c>
      <c r="AJ82" s="54">
        <f t="shared" si="79"/>
        <v>0</v>
      </c>
      <c r="AK82" s="54">
        <f t="shared" si="80"/>
        <v>0</v>
      </c>
      <c r="AL82" s="54">
        <f t="shared" si="81"/>
        <v>0</v>
      </c>
      <c r="AN82" s="54">
        <v>21</v>
      </c>
      <c r="AO82" s="54">
        <f>G82*0</f>
        <v>0</v>
      </c>
      <c r="AP82" s="54">
        <f>G82*(1-0)</f>
        <v>0</v>
      </c>
      <c r="AQ82" s="57" t="s">
        <v>108</v>
      </c>
      <c r="AV82" s="54">
        <f t="shared" si="82"/>
        <v>0</v>
      </c>
      <c r="AW82" s="54">
        <f t="shared" si="83"/>
        <v>0</v>
      </c>
      <c r="AX82" s="54">
        <f t="shared" si="84"/>
        <v>0</v>
      </c>
      <c r="AY82" s="57" t="s">
        <v>236</v>
      </c>
      <c r="AZ82" s="57" t="s">
        <v>331</v>
      </c>
      <c r="BA82" s="34" t="s">
        <v>332</v>
      </c>
      <c r="BC82" s="54">
        <f t="shared" si="85"/>
        <v>0</v>
      </c>
      <c r="BD82" s="54">
        <f t="shared" si="86"/>
        <v>0</v>
      </c>
      <c r="BE82" s="54">
        <v>0</v>
      </c>
      <c r="BF82" s="54">
        <f>82</f>
        <v>82</v>
      </c>
      <c r="BH82" s="54">
        <f t="shared" si="87"/>
        <v>0</v>
      </c>
      <c r="BI82" s="54">
        <f t="shared" si="88"/>
        <v>0</v>
      </c>
      <c r="BJ82" s="54">
        <f t="shared" si="89"/>
        <v>0</v>
      </c>
      <c r="BK82" s="57" t="s">
        <v>115</v>
      </c>
      <c r="BL82" s="54">
        <v>18</v>
      </c>
      <c r="BW82" s="54">
        <v>21</v>
      </c>
      <c r="BX82" s="3" t="s">
        <v>347</v>
      </c>
    </row>
    <row r="83" spans="1:76" x14ac:dyDescent="0.25">
      <c r="A83" s="1" t="s">
        <v>303</v>
      </c>
      <c r="B83" s="2" t="s">
        <v>349</v>
      </c>
      <c r="C83" s="83" t="s">
        <v>350</v>
      </c>
      <c r="D83" s="78"/>
      <c r="E83" s="2" t="s">
        <v>111</v>
      </c>
      <c r="F83" s="54">
        <f>'Stavební rozpočet'!F107</f>
        <v>75</v>
      </c>
      <c r="G83" s="54">
        <f>'Stavební rozpočet'!G107</f>
        <v>0</v>
      </c>
      <c r="H83" s="54">
        <f t="shared" si="68"/>
        <v>0</v>
      </c>
      <c r="I83" s="54">
        <f t="shared" si="69"/>
        <v>0</v>
      </c>
      <c r="J83" s="54">
        <f t="shared" si="70"/>
        <v>0</v>
      </c>
      <c r="K83" s="56" t="s">
        <v>120</v>
      </c>
      <c r="Z83" s="54">
        <f t="shared" si="71"/>
        <v>0</v>
      </c>
      <c r="AB83" s="54">
        <f t="shared" si="72"/>
        <v>0</v>
      </c>
      <c r="AC83" s="54">
        <f t="shared" si="73"/>
        <v>0</v>
      </c>
      <c r="AD83" s="54">
        <f t="shared" si="74"/>
        <v>0</v>
      </c>
      <c r="AE83" s="54">
        <f t="shared" si="75"/>
        <v>0</v>
      </c>
      <c r="AF83" s="54">
        <f t="shared" si="76"/>
        <v>0</v>
      </c>
      <c r="AG83" s="54">
        <f t="shared" si="77"/>
        <v>0</v>
      </c>
      <c r="AH83" s="54">
        <f t="shared" si="78"/>
        <v>0</v>
      </c>
      <c r="AI83" s="34" t="s">
        <v>327</v>
      </c>
      <c r="AJ83" s="54">
        <f t="shared" si="79"/>
        <v>0</v>
      </c>
      <c r="AK83" s="54">
        <f t="shared" si="80"/>
        <v>0</v>
      </c>
      <c r="AL83" s="54">
        <f t="shared" si="81"/>
        <v>0</v>
      </c>
      <c r="AN83" s="54">
        <v>21</v>
      </c>
      <c r="AO83" s="54">
        <f>G83*0.008557214</f>
        <v>0</v>
      </c>
      <c r="AP83" s="54">
        <f>G83*(1-0.008557214)</f>
        <v>0</v>
      </c>
      <c r="AQ83" s="57" t="s">
        <v>108</v>
      </c>
      <c r="AV83" s="54">
        <f t="shared" si="82"/>
        <v>0</v>
      </c>
      <c r="AW83" s="54">
        <f t="shared" si="83"/>
        <v>0</v>
      </c>
      <c r="AX83" s="54">
        <f t="shared" si="84"/>
        <v>0</v>
      </c>
      <c r="AY83" s="57" t="s">
        <v>236</v>
      </c>
      <c r="AZ83" s="57" t="s">
        <v>331</v>
      </c>
      <c r="BA83" s="34" t="s">
        <v>332</v>
      </c>
      <c r="BC83" s="54">
        <f t="shared" si="85"/>
        <v>0</v>
      </c>
      <c r="BD83" s="54">
        <f t="shared" si="86"/>
        <v>0</v>
      </c>
      <c r="BE83" s="54">
        <v>0</v>
      </c>
      <c r="BF83" s="54">
        <f>83</f>
        <v>83</v>
      </c>
      <c r="BH83" s="54">
        <f t="shared" si="87"/>
        <v>0</v>
      </c>
      <c r="BI83" s="54">
        <f t="shared" si="88"/>
        <v>0</v>
      </c>
      <c r="BJ83" s="54">
        <f t="shared" si="89"/>
        <v>0</v>
      </c>
      <c r="BK83" s="57" t="s">
        <v>115</v>
      </c>
      <c r="BL83" s="54">
        <v>18</v>
      </c>
      <c r="BW83" s="54">
        <v>21</v>
      </c>
      <c r="BX83" s="3" t="s">
        <v>350</v>
      </c>
    </row>
    <row r="84" spans="1:76" x14ac:dyDescent="0.25">
      <c r="A84" s="1" t="s">
        <v>304</v>
      </c>
      <c r="B84" s="2" t="s">
        <v>352</v>
      </c>
      <c r="C84" s="83" t="s">
        <v>353</v>
      </c>
      <c r="D84" s="78"/>
      <c r="E84" s="2" t="s">
        <v>119</v>
      </c>
      <c r="F84" s="54">
        <f>'Stavební rozpočet'!F108</f>
        <v>192</v>
      </c>
      <c r="G84" s="54">
        <f>'Stavební rozpočet'!G108</f>
        <v>0</v>
      </c>
      <c r="H84" s="54">
        <f t="shared" si="68"/>
        <v>0</v>
      </c>
      <c r="I84" s="54">
        <f t="shared" si="69"/>
        <v>0</v>
      </c>
      <c r="J84" s="54">
        <f t="shared" si="70"/>
        <v>0</v>
      </c>
      <c r="K84" s="56" t="s">
        <v>120</v>
      </c>
      <c r="Z84" s="54">
        <f t="shared" si="71"/>
        <v>0</v>
      </c>
      <c r="AB84" s="54">
        <f t="shared" si="72"/>
        <v>0</v>
      </c>
      <c r="AC84" s="54">
        <f t="shared" si="73"/>
        <v>0</v>
      </c>
      <c r="AD84" s="54">
        <f t="shared" si="74"/>
        <v>0</v>
      </c>
      <c r="AE84" s="54">
        <f t="shared" si="75"/>
        <v>0</v>
      </c>
      <c r="AF84" s="54">
        <f t="shared" si="76"/>
        <v>0</v>
      </c>
      <c r="AG84" s="54">
        <f t="shared" si="77"/>
        <v>0</v>
      </c>
      <c r="AH84" s="54">
        <f t="shared" si="78"/>
        <v>0</v>
      </c>
      <c r="AI84" s="34" t="s">
        <v>327</v>
      </c>
      <c r="AJ84" s="54">
        <f t="shared" si="79"/>
        <v>0</v>
      </c>
      <c r="AK84" s="54">
        <f t="shared" si="80"/>
        <v>0</v>
      </c>
      <c r="AL84" s="54">
        <f t="shared" si="81"/>
        <v>0</v>
      </c>
      <c r="AN84" s="54">
        <v>21</v>
      </c>
      <c r="AO84" s="54">
        <f>G84*0</f>
        <v>0</v>
      </c>
      <c r="AP84" s="54">
        <f>G84*(1-0)</f>
        <v>0</v>
      </c>
      <c r="AQ84" s="57" t="s">
        <v>108</v>
      </c>
      <c r="AV84" s="54">
        <f t="shared" si="82"/>
        <v>0</v>
      </c>
      <c r="AW84" s="54">
        <f t="shared" si="83"/>
        <v>0</v>
      </c>
      <c r="AX84" s="54">
        <f t="shared" si="84"/>
        <v>0</v>
      </c>
      <c r="AY84" s="57" t="s">
        <v>236</v>
      </c>
      <c r="AZ84" s="57" t="s">
        <v>331</v>
      </c>
      <c r="BA84" s="34" t="s">
        <v>332</v>
      </c>
      <c r="BC84" s="54">
        <f t="shared" si="85"/>
        <v>0</v>
      </c>
      <c r="BD84" s="54">
        <f t="shared" si="86"/>
        <v>0</v>
      </c>
      <c r="BE84" s="54">
        <v>0</v>
      </c>
      <c r="BF84" s="54">
        <f>84</f>
        <v>84</v>
      </c>
      <c r="BH84" s="54">
        <f t="shared" si="87"/>
        <v>0</v>
      </c>
      <c r="BI84" s="54">
        <f t="shared" si="88"/>
        <v>0</v>
      </c>
      <c r="BJ84" s="54">
        <f t="shared" si="89"/>
        <v>0</v>
      </c>
      <c r="BK84" s="57" t="s">
        <v>115</v>
      </c>
      <c r="BL84" s="54">
        <v>18</v>
      </c>
      <c r="BW84" s="54">
        <v>21</v>
      </c>
      <c r="BX84" s="3" t="s">
        <v>353</v>
      </c>
    </row>
    <row r="85" spans="1:76" x14ac:dyDescent="0.25">
      <c r="A85" s="1" t="s">
        <v>307</v>
      </c>
      <c r="B85" s="2" t="s">
        <v>256</v>
      </c>
      <c r="C85" s="83" t="s">
        <v>355</v>
      </c>
      <c r="D85" s="78"/>
      <c r="E85" s="2" t="s">
        <v>177</v>
      </c>
      <c r="F85" s="54">
        <f>'Stavební rozpočet'!F109</f>
        <v>7.7</v>
      </c>
      <c r="G85" s="54">
        <f>'Stavební rozpočet'!G109</f>
        <v>0</v>
      </c>
      <c r="H85" s="54">
        <f t="shared" si="68"/>
        <v>0</v>
      </c>
      <c r="I85" s="54">
        <f t="shared" si="69"/>
        <v>0</v>
      </c>
      <c r="J85" s="54">
        <f t="shared" si="70"/>
        <v>0</v>
      </c>
      <c r="K85" s="56" t="s">
        <v>120</v>
      </c>
      <c r="Z85" s="54">
        <f t="shared" si="71"/>
        <v>0</v>
      </c>
      <c r="AB85" s="54">
        <f t="shared" si="72"/>
        <v>0</v>
      </c>
      <c r="AC85" s="54">
        <f t="shared" si="73"/>
        <v>0</v>
      </c>
      <c r="AD85" s="54">
        <f t="shared" si="74"/>
        <v>0</v>
      </c>
      <c r="AE85" s="54">
        <f t="shared" si="75"/>
        <v>0</v>
      </c>
      <c r="AF85" s="54">
        <f t="shared" si="76"/>
        <v>0</v>
      </c>
      <c r="AG85" s="54">
        <f t="shared" si="77"/>
        <v>0</v>
      </c>
      <c r="AH85" s="54">
        <f t="shared" si="78"/>
        <v>0</v>
      </c>
      <c r="AI85" s="34" t="s">
        <v>327</v>
      </c>
      <c r="AJ85" s="54">
        <f t="shared" si="79"/>
        <v>0</v>
      </c>
      <c r="AK85" s="54">
        <f t="shared" si="80"/>
        <v>0</v>
      </c>
      <c r="AL85" s="54">
        <f t="shared" si="81"/>
        <v>0</v>
      </c>
      <c r="AN85" s="54">
        <v>21</v>
      </c>
      <c r="AO85" s="54">
        <f>G85*0</f>
        <v>0</v>
      </c>
      <c r="AP85" s="54">
        <f>G85*(1-0)</f>
        <v>0</v>
      </c>
      <c r="AQ85" s="57" t="s">
        <v>108</v>
      </c>
      <c r="AV85" s="54">
        <f t="shared" si="82"/>
        <v>0</v>
      </c>
      <c r="AW85" s="54">
        <f t="shared" si="83"/>
        <v>0</v>
      </c>
      <c r="AX85" s="54">
        <f t="shared" si="84"/>
        <v>0</v>
      </c>
      <c r="AY85" s="57" t="s">
        <v>236</v>
      </c>
      <c r="AZ85" s="57" t="s">
        <v>331</v>
      </c>
      <c r="BA85" s="34" t="s">
        <v>332</v>
      </c>
      <c r="BC85" s="54">
        <f t="shared" si="85"/>
        <v>0</v>
      </c>
      <c r="BD85" s="54">
        <f t="shared" si="86"/>
        <v>0</v>
      </c>
      <c r="BE85" s="54">
        <v>0</v>
      </c>
      <c r="BF85" s="54">
        <f>85</f>
        <v>85</v>
      </c>
      <c r="BH85" s="54">
        <f t="shared" si="87"/>
        <v>0</v>
      </c>
      <c r="BI85" s="54">
        <f t="shared" si="88"/>
        <v>0</v>
      </c>
      <c r="BJ85" s="54">
        <f t="shared" si="89"/>
        <v>0</v>
      </c>
      <c r="BK85" s="57" t="s">
        <v>115</v>
      </c>
      <c r="BL85" s="54">
        <v>18</v>
      </c>
      <c r="BW85" s="54">
        <v>21</v>
      </c>
      <c r="BX85" s="3" t="s">
        <v>355</v>
      </c>
    </row>
    <row r="86" spans="1:76" x14ac:dyDescent="0.25">
      <c r="A86" s="49" t="s">
        <v>4</v>
      </c>
      <c r="B86" s="50" t="s">
        <v>258</v>
      </c>
      <c r="C86" s="161" t="s">
        <v>259</v>
      </c>
      <c r="D86" s="162"/>
      <c r="E86" s="51" t="s">
        <v>69</v>
      </c>
      <c r="F86" s="51" t="s">
        <v>69</v>
      </c>
      <c r="G86" s="51" t="s">
        <v>69</v>
      </c>
      <c r="H86" s="28">
        <f>SUM(H87:H87)</f>
        <v>0</v>
      </c>
      <c r="I86" s="28">
        <f>SUM(I87:I87)</f>
        <v>0</v>
      </c>
      <c r="J86" s="28">
        <f>SUM(J87:J87)</f>
        <v>0</v>
      </c>
      <c r="K86" s="53" t="s">
        <v>4</v>
      </c>
      <c r="AI86" s="34" t="s">
        <v>327</v>
      </c>
      <c r="AS86" s="28">
        <f>SUM(AJ87:AJ87)</f>
        <v>0</v>
      </c>
      <c r="AT86" s="28">
        <f>SUM(AK87:AK87)</f>
        <v>0</v>
      </c>
      <c r="AU86" s="28">
        <f>SUM(AL87:AL87)</f>
        <v>0</v>
      </c>
    </row>
    <row r="87" spans="1:76" x14ac:dyDescent="0.25">
      <c r="A87" s="1" t="s">
        <v>310</v>
      </c>
      <c r="B87" s="2" t="s">
        <v>219</v>
      </c>
      <c r="C87" s="83" t="s">
        <v>220</v>
      </c>
      <c r="D87" s="78"/>
      <c r="E87" s="2" t="s">
        <v>136</v>
      </c>
      <c r="F87" s="54">
        <f>'Stavební rozpočet'!F111</f>
        <v>10.039999999999999</v>
      </c>
      <c r="G87" s="54">
        <f>'Stavební rozpočet'!G111</f>
        <v>0</v>
      </c>
      <c r="H87" s="54">
        <f>ROUND(F87*AO87,2)</f>
        <v>0</v>
      </c>
      <c r="I87" s="54">
        <f>ROUND(F87*AP87,2)</f>
        <v>0</v>
      </c>
      <c r="J87" s="54">
        <f>ROUND(F87*G87,2)</f>
        <v>0</v>
      </c>
      <c r="K87" s="56" t="s">
        <v>120</v>
      </c>
      <c r="Z87" s="54">
        <f>ROUND(IF(AQ87="5",BJ87,0),2)</f>
        <v>0</v>
      </c>
      <c r="AB87" s="54">
        <f>ROUND(IF(AQ87="1",BH87,0),2)</f>
        <v>0</v>
      </c>
      <c r="AC87" s="54">
        <f>ROUND(IF(AQ87="1",BI87,0),2)</f>
        <v>0</v>
      </c>
      <c r="AD87" s="54">
        <f>ROUND(IF(AQ87="7",BH87,0),2)</f>
        <v>0</v>
      </c>
      <c r="AE87" s="54">
        <f>ROUND(IF(AQ87="7",BI87,0),2)</f>
        <v>0</v>
      </c>
      <c r="AF87" s="54">
        <f>ROUND(IF(AQ87="2",BH87,0),2)</f>
        <v>0</v>
      </c>
      <c r="AG87" s="54">
        <f>ROUND(IF(AQ87="2",BI87,0),2)</f>
        <v>0</v>
      </c>
      <c r="AH87" s="54">
        <f>ROUND(IF(AQ87="0",BJ87,0),2)</f>
        <v>0</v>
      </c>
      <c r="AI87" s="34" t="s">
        <v>327</v>
      </c>
      <c r="AJ87" s="54">
        <f>IF(AN87=0,J87,0)</f>
        <v>0</v>
      </c>
      <c r="AK87" s="54">
        <f>IF(AN87=0,J87,0)</f>
        <v>0</v>
      </c>
      <c r="AL87" s="54">
        <f>IF(AN87=21,J87,0)</f>
        <v>0</v>
      </c>
      <c r="AN87" s="54">
        <v>21</v>
      </c>
      <c r="AO87" s="54">
        <f>G87*0</f>
        <v>0</v>
      </c>
      <c r="AP87" s="54">
        <f>G87*(1-0)</f>
        <v>0</v>
      </c>
      <c r="AQ87" s="57" t="s">
        <v>129</v>
      </c>
      <c r="AV87" s="54">
        <f>ROUND(AW87+AX87,2)</f>
        <v>0</v>
      </c>
      <c r="AW87" s="54">
        <f>ROUND(F87*AO87,2)</f>
        <v>0</v>
      </c>
      <c r="AX87" s="54">
        <f>ROUND(F87*AP87,2)</f>
        <v>0</v>
      </c>
      <c r="AY87" s="57" t="s">
        <v>261</v>
      </c>
      <c r="AZ87" s="57" t="s">
        <v>357</v>
      </c>
      <c r="BA87" s="34" t="s">
        <v>332</v>
      </c>
      <c r="BC87" s="54">
        <f>AW87+AX87</f>
        <v>0</v>
      </c>
      <c r="BD87" s="54">
        <f>G87/(100-BE87)*100</f>
        <v>0</v>
      </c>
      <c r="BE87" s="54">
        <v>0</v>
      </c>
      <c r="BF87" s="54">
        <f>87</f>
        <v>87</v>
      </c>
      <c r="BH87" s="54">
        <f>F87*AO87</f>
        <v>0</v>
      </c>
      <c r="BI87" s="54">
        <f>F87*AP87</f>
        <v>0</v>
      </c>
      <c r="BJ87" s="54">
        <f>F87*G87</f>
        <v>0</v>
      </c>
      <c r="BK87" s="57" t="s">
        <v>115</v>
      </c>
      <c r="BL87" s="54"/>
      <c r="BW87" s="54">
        <v>21</v>
      </c>
      <c r="BX87" s="3" t="s">
        <v>220</v>
      </c>
    </row>
    <row r="88" spans="1:76" x14ac:dyDescent="0.25">
      <c r="A88" s="60" t="s">
        <v>4</v>
      </c>
      <c r="B88" s="61" t="s">
        <v>4</v>
      </c>
      <c r="C88" s="167" t="s">
        <v>374</v>
      </c>
      <c r="D88" s="168"/>
      <c r="E88" s="62" t="s">
        <v>69</v>
      </c>
      <c r="F88" s="62" t="s">
        <v>69</v>
      </c>
      <c r="G88" s="62" t="s">
        <v>69</v>
      </c>
      <c r="H88" s="63">
        <f>H89+H99</f>
        <v>0</v>
      </c>
      <c r="I88" s="63">
        <f>I89+I99</f>
        <v>0</v>
      </c>
      <c r="J88" s="63">
        <f>J89+J99</f>
        <v>0</v>
      </c>
      <c r="K88" s="64" t="s">
        <v>4</v>
      </c>
    </row>
    <row r="89" spans="1:76" x14ac:dyDescent="0.25">
      <c r="A89" s="49" t="s">
        <v>4</v>
      </c>
      <c r="B89" s="50" t="s">
        <v>182</v>
      </c>
      <c r="C89" s="161" t="s">
        <v>232</v>
      </c>
      <c r="D89" s="162"/>
      <c r="E89" s="51" t="s">
        <v>69</v>
      </c>
      <c r="F89" s="51" t="s">
        <v>69</v>
      </c>
      <c r="G89" s="51" t="s">
        <v>69</v>
      </c>
      <c r="H89" s="28">
        <f>SUM(H90:H98)</f>
        <v>0</v>
      </c>
      <c r="I89" s="28">
        <f>SUM(I90:I98)</f>
        <v>0</v>
      </c>
      <c r="J89" s="28">
        <f>SUM(J90:J98)</f>
        <v>0</v>
      </c>
      <c r="K89" s="53" t="s">
        <v>4</v>
      </c>
      <c r="AI89" s="34" t="s">
        <v>375</v>
      </c>
      <c r="AS89" s="28">
        <f>SUM(AJ90:AJ98)</f>
        <v>0</v>
      </c>
      <c r="AT89" s="28">
        <f>SUM(AK90:AK98)</f>
        <v>0</v>
      </c>
      <c r="AU89" s="28">
        <f>SUM(AL90:AL98)</f>
        <v>0</v>
      </c>
    </row>
    <row r="90" spans="1:76" x14ac:dyDescent="0.25">
      <c r="A90" s="1" t="s">
        <v>311</v>
      </c>
      <c r="B90" s="2" t="s">
        <v>329</v>
      </c>
      <c r="C90" s="83" t="s">
        <v>377</v>
      </c>
      <c r="D90" s="78"/>
      <c r="E90" s="2" t="s">
        <v>119</v>
      </c>
      <c r="F90" s="54">
        <f>'Stavební rozpočet'!F122</f>
        <v>439.4</v>
      </c>
      <c r="G90" s="54">
        <f>'Stavební rozpočet'!G122</f>
        <v>0</v>
      </c>
      <c r="H90" s="54">
        <f t="shared" ref="H90:H98" si="90">ROUND(F90*AO90,2)</f>
        <v>0</v>
      </c>
      <c r="I90" s="54">
        <f t="shared" ref="I90:I98" si="91">ROUND(F90*AP90,2)</f>
        <v>0</v>
      </c>
      <c r="J90" s="54">
        <f t="shared" ref="J90:J98" si="92">ROUND(F90*G90,2)</f>
        <v>0</v>
      </c>
      <c r="K90" s="56" t="s">
        <v>120</v>
      </c>
      <c r="Z90" s="54">
        <f t="shared" ref="Z90:Z98" si="93">ROUND(IF(AQ90="5",BJ90,0),2)</f>
        <v>0</v>
      </c>
      <c r="AB90" s="54">
        <f t="shared" ref="AB90:AB98" si="94">ROUND(IF(AQ90="1",BH90,0),2)</f>
        <v>0</v>
      </c>
      <c r="AC90" s="54">
        <f t="shared" ref="AC90:AC98" si="95">ROUND(IF(AQ90="1",BI90,0),2)</f>
        <v>0</v>
      </c>
      <c r="AD90" s="54">
        <f t="shared" ref="AD90:AD98" si="96">ROUND(IF(AQ90="7",BH90,0),2)</f>
        <v>0</v>
      </c>
      <c r="AE90" s="54">
        <f t="shared" ref="AE90:AE98" si="97">ROUND(IF(AQ90="7",BI90,0),2)</f>
        <v>0</v>
      </c>
      <c r="AF90" s="54">
        <f t="shared" ref="AF90:AF98" si="98">ROUND(IF(AQ90="2",BH90,0),2)</f>
        <v>0</v>
      </c>
      <c r="AG90" s="54">
        <f t="shared" ref="AG90:AG98" si="99">ROUND(IF(AQ90="2",BI90,0),2)</f>
        <v>0</v>
      </c>
      <c r="AH90" s="54">
        <f t="shared" ref="AH90:AH98" si="100">ROUND(IF(AQ90="0",BJ90,0),2)</f>
        <v>0</v>
      </c>
      <c r="AI90" s="34" t="s">
        <v>375</v>
      </c>
      <c r="AJ90" s="54">
        <f t="shared" ref="AJ90:AJ98" si="101">IF(AN90=0,J90,0)</f>
        <v>0</v>
      </c>
      <c r="AK90" s="54">
        <f t="shared" ref="AK90:AK98" si="102">IF(AN90=0,J90,0)</f>
        <v>0</v>
      </c>
      <c r="AL90" s="54">
        <f t="shared" ref="AL90:AL98" si="103">IF(AN90=21,J90,0)</f>
        <v>0</v>
      </c>
      <c r="AN90" s="54">
        <v>21</v>
      </c>
      <c r="AO90" s="54">
        <f>G90*0.006558869</f>
        <v>0</v>
      </c>
      <c r="AP90" s="54">
        <f>G90*(1-0.006558869)</f>
        <v>0</v>
      </c>
      <c r="AQ90" s="57" t="s">
        <v>108</v>
      </c>
      <c r="AV90" s="54">
        <f t="shared" ref="AV90:AV98" si="104">ROUND(AW90+AX90,2)</f>
        <v>0</v>
      </c>
      <c r="AW90" s="54">
        <f t="shared" ref="AW90:AW98" si="105">ROUND(F90*AO90,2)</f>
        <v>0</v>
      </c>
      <c r="AX90" s="54">
        <f t="shared" ref="AX90:AX98" si="106">ROUND(F90*AP90,2)</f>
        <v>0</v>
      </c>
      <c r="AY90" s="57" t="s">
        <v>236</v>
      </c>
      <c r="AZ90" s="57" t="s">
        <v>378</v>
      </c>
      <c r="BA90" s="34" t="s">
        <v>379</v>
      </c>
      <c r="BC90" s="54">
        <f t="shared" ref="BC90:BC98" si="107">AW90+AX90</f>
        <v>0</v>
      </c>
      <c r="BD90" s="54">
        <f t="shared" ref="BD90:BD98" si="108">G90/(100-BE90)*100</f>
        <v>0</v>
      </c>
      <c r="BE90" s="54">
        <v>0</v>
      </c>
      <c r="BF90" s="54">
        <f>90</f>
        <v>90</v>
      </c>
      <c r="BH90" s="54">
        <f t="shared" ref="BH90:BH98" si="109">F90*AO90</f>
        <v>0</v>
      </c>
      <c r="BI90" s="54">
        <f t="shared" ref="BI90:BI98" si="110">F90*AP90</f>
        <v>0</v>
      </c>
      <c r="BJ90" s="54">
        <f t="shared" ref="BJ90:BJ98" si="111">F90*G90</f>
        <v>0</v>
      </c>
      <c r="BK90" s="57" t="s">
        <v>115</v>
      </c>
      <c r="BL90" s="54">
        <v>18</v>
      </c>
      <c r="BW90" s="54">
        <v>21</v>
      </c>
      <c r="BX90" s="3" t="s">
        <v>377</v>
      </c>
    </row>
    <row r="91" spans="1:76" x14ac:dyDescent="0.25">
      <c r="A91" s="1" t="s">
        <v>313</v>
      </c>
      <c r="B91" s="2" t="s">
        <v>334</v>
      </c>
      <c r="C91" s="83" t="s">
        <v>335</v>
      </c>
      <c r="D91" s="78"/>
      <c r="E91" s="2" t="s">
        <v>119</v>
      </c>
      <c r="F91" s="54">
        <f>'Stavební rozpočet'!F123</f>
        <v>439.4</v>
      </c>
      <c r="G91" s="54">
        <f>'Stavební rozpočet'!G123</f>
        <v>0</v>
      </c>
      <c r="H91" s="54">
        <f t="shared" si="90"/>
        <v>0</v>
      </c>
      <c r="I91" s="54">
        <f t="shared" si="91"/>
        <v>0</v>
      </c>
      <c r="J91" s="54">
        <f t="shared" si="92"/>
        <v>0</v>
      </c>
      <c r="K91" s="56" t="s">
        <v>120</v>
      </c>
      <c r="Z91" s="54">
        <f t="shared" si="93"/>
        <v>0</v>
      </c>
      <c r="AB91" s="54">
        <f t="shared" si="94"/>
        <v>0</v>
      </c>
      <c r="AC91" s="54">
        <f t="shared" si="95"/>
        <v>0</v>
      </c>
      <c r="AD91" s="54">
        <f t="shared" si="96"/>
        <v>0</v>
      </c>
      <c r="AE91" s="54">
        <f t="shared" si="97"/>
        <v>0</v>
      </c>
      <c r="AF91" s="54">
        <f t="shared" si="98"/>
        <v>0</v>
      </c>
      <c r="AG91" s="54">
        <f t="shared" si="99"/>
        <v>0</v>
      </c>
      <c r="AH91" s="54">
        <f t="shared" si="100"/>
        <v>0</v>
      </c>
      <c r="AI91" s="34" t="s">
        <v>375</v>
      </c>
      <c r="AJ91" s="54">
        <f t="shared" si="101"/>
        <v>0</v>
      </c>
      <c r="AK91" s="54">
        <f t="shared" si="102"/>
        <v>0</v>
      </c>
      <c r="AL91" s="54">
        <f t="shared" si="103"/>
        <v>0</v>
      </c>
      <c r="AN91" s="54">
        <v>21</v>
      </c>
      <c r="AO91" s="54">
        <f t="shared" ref="AO91:AO96" si="112">G91*0</f>
        <v>0</v>
      </c>
      <c r="AP91" s="54">
        <f t="shared" ref="AP91:AP96" si="113">G91*(1-0)</f>
        <v>0</v>
      </c>
      <c r="AQ91" s="57" t="s">
        <v>108</v>
      </c>
      <c r="AV91" s="54">
        <f t="shared" si="104"/>
        <v>0</v>
      </c>
      <c r="AW91" s="54">
        <f t="shared" si="105"/>
        <v>0</v>
      </c>
      <c r="AX91" s="54">
        <f t="shared" si="106"/>
        <v>0</v>
      </c>
      <c r="AY91" s="57" t="s">
        <v>236</v>
      </c>
      <c r="AZ91" s="57" t="s">
        <v>378</v>
      </c>
      <c r="BA91" s="34" t="s">
        <v>379</v>
      </c>
      <c r="BC91" s="54">
        <f t="shared" si="107"/>
        <v>0</v>
      </c>
      <c r="BD91" s="54">
        <f t="shared" si="108"/>
        <v>0</v>
      </c>
      <c r="BE91" s="54">
        <v>0</v>
      </c>
      <c r="BF91" s="54">
        <f>91</f>
        <v>91</v>
      </c>
      <c r="BH91" s="54">
        <f t="shared" si="109"/>
        <v>0</v>
      </c>
      <c r="BI91" s="54">
        <f t="shared" si="110"/>
        <v>0</v>
      </c>
      <c r="BJ91" s="54">
        <f t="shared" si="111"/>
        <v>0</v>
      </c>
      <c r="BK91" s="57" t="s">
        <v>115</v>
      </c>
      <c r="BL91" s="54">
        <v>18</v>
      </c>
      <c r="BW91" s="54">
        <v>21</v>
      </c>
      <c r="BX91" s="3" t="s">
        <v>335</v>
      </c>
    </row>
    <row r="92" spans="1:76" x14ac:dyDescent="0.25">
      <c r="A92" s="1" t="s">
        <v>315</v>
      </c>
      <c r="B92" s="2" t="s">
        <v>382</v>
      </c>
      <c r="C92" s="83" t="s">
        <v>383</v>
      </c>
      <c r="D92" s="78"/>
      <c r="E92" s="2" t="s">
        <v>119</v>
      </c>
      <c r="F92" s="54">
        <f>'Stavební rozpočet'!F124</f>
        <v>439.4</v>
      </c>
      <c r="G92" s="54">
        <f>'Stavební rozpočet'!G124</f>
        <v>0</v>
      </c>
      <c r="H92" s="54">
        <f t="shared" si="90"/>
        <v>0</v>
      </c>
      <c r="I92" s="54">
        <f t="shared" si="91"/>
        <v>0</v>
      </c>
      <c r="J92" s="54">
        <f t="shared" si="92"/>
        <v>0</v>
      </c>
      <c r="K92" s="56" t="s">
        <v>120</v>
      </c>
      <c r="Z92" s="54">
        <f t="shared" si="93"/>
        <v>0</v>
      </c>
      <c r="AB92" s="54">
        <f t="shared" si="94"/>
        <v>0</v>
      </c>
      <c r="AC92" s="54">
        <f t="shared" si="95"/>
        <v>0</v>
      </c>
      <c r="AD92" s="54">
        <f t="shared" si="96"/>
        <v>0</v>
      </c>
      <c r="AE92" s="54">
        <f t="shared" si="97"/>
        <v>0</v>
      </c>
      <c r="AF92" s="54">
        <f t="shared" si="98"/>
        <v>0</v>
      </c>
      <c r="AG92" s="54">
        <f t="shared" si="99"/>
        <v>0</v>
      </c>
      <c r="AH92" s="54">
        <f t="shared" si="100"/>
        <v>0</v>
      </c>
      <c r="AI92" s="34" t="s">
        <v>375</v>
      </c>
      <c r="AJ92" s="54">
        <f t="shared" si="101"/>
        <v>0</v>
      </c>
      <c r="AK92" s="54">
        <f t="shared" si="102"/>
        <v>0</v>
      </c>
      <c r="AL92" s="54">
        <f t="shared" si="103"/>
        <v>0</v>
      </c>
      <c r="AN92" s="54">
        <v>21</v>
      </c>
      <c r="AO92" s="54">
        <f t="shared" si="112"/>
        <v>0</v>
      </c>
      <c r="AP92" s="54">
        <f t="shared" si="113"/>
        <v>0</v>
      </c>
      <c r="AQ92" s="57" t="s">
        <v>108</v>
      </c>
      <c r="AV92" s="54">
        <f t="shared" si="104"/>
        <v>0</v>
      </c>
      <c r="AW92" s="54">
        <f t="shared" si="105"/>
        <v>0</v>
      </c>
      <c r="AX92" s="54">
        <f t="shared" si="106"/>
        <v>0</v>
      </c>
      <c r="AY92" s="57" t="s">
        <v>236</v>
      </c>
      <c r="AZ92" s="57" t="s">
        <v>378</v>
      </c>
      <c r="BA92" s="34" t="s">
        <v>379</v>
      </c>
      <c r="BC92" s="54">
        <f t="shared" si="107"/>
        <v>0</v>
      </c>
      <c r="BD92" s="54">
        <f t="shared" si="108"/>
        <v>0</v>
      </c>
      <c r="BE92" s="54">
        <v>0</v>
      </c>
      <c r="BF92" s="54">
        <f>92</f>
        <v>92</v>
      </c>
      <c r="BH92" s="54">
        <f t="shared" si="109"/>
        <v>0</v>
      </c>
      <c r="BI92" s="54">
        <f t="shared" si="110"/>
        <v>0</v>
      </c>
      <c r="BJ92" s="54">
        <f t="shared" si="111"/>
        <v>0</v>
      </c>
      <c r="BK92" s="57" t="s">
        <v>115</v>
      </c>
      <c r="BL92" s="54">
        <v>18</v>
      </c>
      <c r="BW92" s="54">
        <v>21</v>
      </c>
      <c r="BX92" s="3" t="s">
        <v>383</v>
      </c>
    </row>
    <row r="93" spans="1:76" x14ac:dyDescent="0.25">
      <c r="A93" s="1" t="s">
        <v>316</v>
      </c>
      <c r="B93" s="2" t="s">
        <v>385</v>
      </c>
      <c r="C93" s="83" t="s">
        <v>386</v>
      </c>
      <c r="D93" s="78"/>
      <c r="E93" s="2" t="s">
        <v>119</v>
      </c>
      <c r="F93" s="54">
        <f>'Stavební rozpočet'!F125</f>
        <v>439.4</v>
      </c>
      <c r="G93" s="54">
        <f>'Stavební rozpočet'!G125</f>
        <v>0</v>
      </c>
      <c r="H93" s="54">
        <f t="shared" si="90"/>
        <v>0</v>
      </c>
      <c r="I93" s="54">
        <f t="shared" si="91"/>
        <v>0</v>
      </c>
      <c r="J93" s="54">
        <f t="shared" si="92"/>
        <v>0</v>
      </c>
      <c r="K93" s="56" t="s">
        <v>120</v>
      </c>
      <c r="Z93" s="54">
        <f t="shared" si="93"/>
        <v>0</v>
      </c>
      <c r="AB93" s="54">
        <f t="shared" si="94"/>
        <v>0</v>
      </c>
      <c r="AC93" s="54">
        <f t="shared" si="95"/>
        <v>0</v>
      </c>
      <c r="AD93" s="54">
        <f t="shared" si="96"/>
        <v>0</v>
      </c>
      <c r="AE93" s="54">
        <f t="shared" si="97"/>
        <v>0</v>
      </c>
      <c r="AF93" s="54">
        <f t="shared" si="98"/>
        <v>0</v>
      </c>
      <c r="AG93" s="54">
        <f t="shared" si="99"/>
        <v>0</v>
      </c>
      <c r="AH93" s="54">
        <f t="shared" si="100"/>
        <v>0</v>
      </c>
      <c r="AI93" s="34" t="s">
        <v>375</v>
      </c>
      <c r="AJ93" s="54">
        <f t="shared" si="101"/>
        <v>0</v>
      </c>
      <c r="AK93" s="54">
        <f t="shared" si="102"/>
        <v>0</v>
      </c>
      <c r="AL93" s="54">
        <f t="shared" si="103"/>
        <v>0</v>
      </c>
      <c r="AN93" s="54">
        <v>21</v>
      </c>
      <c r="AO93" s="54">
        <f t="shared" si="112"/>
        <v>0</v>
      </c>
      <c r="AP93" s="54">
        <f t="shared" si="113"/>
        <v>0</v>
      </c>
      <c r="AQ93" s="57" t="s">
        <v>108</v>
      </c>
      <c r="AV93" s="54">
        <f t="shared" si="104"/>
        <v>0</v>
      </c>
      <c r="AW93" s="54">
        <f t="shared" si="105"/>
        <v>0</v>
      </c>
      <c r="AX93" s="54">
        <f t="shared" si="106"/>
        <v>0</v>
      </c>
      <c r="AY93" s="57" t="s">
        <v>236</v>
      </c>
      <c r="AZ93" s="57" t="s">
        <v>378</v>
      </c>
      <c r="BA93" s="34" t="s">
        <v>379</v>
      </c>
      <c r="BC93" s="54">
        <f t="shared" si="107"/>
        <v>0</v>
      </c>
      <c r="BD93" s="54">
        <f t="shared" si="108"/>
        <v>0</v>
      </c>
      <c r="BE93" s="54">
        <v>0</v>
      </c>
      <c r="BF93" s="54">
        <f>93</f>
        <v>93</v>
      </c>
      <c r="BH93" s="54">
        <f t="shared" si="109"/>
        <v>0</v>
      </c>
      <c r="BI93" s="54">
        <f t="shared" si="110"/>
        <v>0</v>
      </c>
      <c r="BJ93" s="54">
        <f t="shared" si="111"/>
        <v>0</v>
      </c>
      <c r="BK93" s="57" t="s">
        <v>115</v>
      </c>
      <c r="BL93" s="54">
        <v>18</v>
      </c>
      <c r="BW93" s="54">
        <v>21</v>
      </c>
      <c r="BX93" s="3" t="s">
        <v>386</v>
      </c>
    </row>
    <row r="94" spans="1:76" x14ac:dyDescent="0.25">
      <c r="A94" s="1" t="s">
        <v>319</v>
      </c>
      <c r="B94" s="2" t="s">
        <v>388</v>
      </c>
      <c r="C94" s="83" t="s">
        <v>389</v>
      </c>
      <c r="D94" s="78"/>
      <c r="E94" s="2" t="s">
        <v>119</v>
      </c>
      <c r="F94" s="54">
        <f>'Stavební rozpočet'!F126</f>
        <v>439.4</v>
      </c>
      <c r="G94" s="54">
        <f>'Stavební rozpočet'!G126</f>
        <v>0</v>
      </c>
      <c r="H94" s="54">
        <f t="shared" si="90"/>
        <v>0</v>
      </c>
      <c r="I94" s="54">
        <f t="shared" si="91"/>
        <v>0</v>
      </c>
      <c r="J94" s="54">
        <f t="shared" si="92"/>
        <v>0</v>
      </c>
      <c r="K94" s="56" t="s">
        <v>120</v>
      </c>
      <c r="Z94" s="54">
        <f t="shared" si="93"/>
        <v>0</v>
      </c>
      <c r="AB94" s="54">
        <f t="shared" si="94"/>
        <v>0</v>
      </c>
      <c r="AC94" s="54">
        <f t="shared" si="95"/>
        <v>0</v>
      </c>
      <c r="AD94" s="54">
        <f t="shared" si="96"/>
        <v>0</v>
      </c>
      <c r="AE94" s="54">
        <f t="shared" si="97"/>
        <v>0</v>
      </c>
      <c r="AF94" s="54">
        <f t="shared" si="98"/>
        <v>0</v>
      </c>
      <c r="AG94" s="54">
        <f t="shared" si="99"/>
        <v>0</v>
      </c>
      <c r="AH94" s="54">
        <f t="shared" si="100"/>
        <v>0</v>
      </c>
      <c r="AI94" s="34" t="s">
        <v>375</v>
      </c>
      <c r="AJ94" s="54">
        <f t="shared" si="101"/>
        <v>0</v>
      </c>
      <c r="AK94" s="54">
        <f t="shared" si="102"/>
        <v>0</v>
      </c>
      <c r="AL94" s="54">
        <f t="shared" si="103"/>
        <v>0</v>
      </c>
      <c r="AN94" s="54">
        <v>21</v>
      </c>
      <c r="AO94" s="54">
        <f t="shared" si="112"/>
        <v>0</v>
      </c>
      <c r="AP94" s="54">
        <f t="shared" si="113"/>
        <v>0</v>
      </c>
      <c r="AQ94" s="57" t="s">
        <v>108</v>
      </c>
      <c r="AV94" s="54">
        <f t="shared" si="104"/>
        <v>0</v>
      </c>
      <c r="AW94" s="54">
        <f t="shared" si="105"/>
        <v>0</v>
      </c>
      <c r="AX94" s="54">
        <f t="shared" si="106"/>
        <v>0</v>
      </c>
      <c r="AY94" s="57" t="s">
        <v>236</v>
      </c>
      <c r="AZ94" s="57" t="s">
        <v>378</v>
      </c>
      <c r="BA94" s="34" t="s">
        <v>379</v>
      </c>
      <c r="BC94" s="54">
        <f t="shared" si="107"/>
        <v>0</v>
      </c>
      <c r="BD94" s="54">
        <f t="shared" si="108"/>
        <v>0</v>
      </c>
      <c r="BE94" s="54">
        <v>0</v>
      </c>
      <c r="BF94" s="54">
        <f>94</f>
        <v>94</v>
      </c>
      <c r="BH94" s="54">
        <f t="shared" si="109"/>
        <v>0</v>
      </c>
      <c r="BI94" s="54">
        <f t="shared" si="110"/>
        <v>0</v>
      </c>
      <c r="BJ94" s="54">
        <f t="shared" si="111"/>
        <v>0</v>
      </c>
      <c r="BK94" s="57" t="s">
        <v>115</v>
      </c>
      <c r="BL94" s="54">
        <v>18</v>
      </c>
      <c r="BW94" s="54">
        <v>21</v>
      </c>
      <c r="BX94" s="3" t="s">
        <v>389</v>
      </c>
    </row>
    <row r="95" spans="1:76" x14ac:dyDescent="0.25">
      <c r="A95" s="1" t="s">
        <v>320</v>
      </c>
      <c r="B95" s="2" t="s">
        <v>391</v>
      </c>
      <c r="C95" s="83" t="s">
        <v>392</v>
      </c>
      <c r="D95" s="78"/>
      <c r="E95" s="2" t="s">
        <v>119</v>
      </c>
      <c r="F95" s="54">
        <f>'Stavební rozpočet'!F127</f>
        <v>439.4</v>
      </c>
      <c r="G95" s="54">
        <f>'Stavební rozpočet'!G127</f>
        <v>0</v>
      </c>
      <c r="H95" s="54">
        <f t="shared" si="90"/>
        <v>0</v>
      </c>
      <c r="I95" s="54">
        <f t="shared" si="91"/>
        <v>0</v>
      </c>
      <c r="J95" s="54">
        <f t="shared" si="92"/>
        <v>0</v>
      </c>
      <c r="K95" s="56" t="s">
        <v>120</v>
      </c>
      <c r="Z95" s="54">
        <f t="shared" si="93"/>
        <v>0</v>
      </c>
      <c r="AB95" s="54">
        <f t="shared" si="94"/>
        <v>0</v>
      </c>
      <c r="AC95" s="54">
        <f t="shared" si="95"/>
        <v>0</v>
      </c>
      <c r="AD95" s="54">
        <f t="shared" si="96"/>
        <v>0</v>
      </c>
      <c r="AE95" s="54">
        <f t="shared" si="97"/>
        <v>0</v>
      </c>
      <c r="AF95" s="54">
        <f t="shared" si="98"/>
        <v>0</v>
      </c>
      <c r="AG95" s="54">
        <f t="shared" si="99"/>
        <v>0</v>
      </c>
      <c r="AH95" s="54">
        <f t="shared" si="100"/>
        <v>0</v>
      </c>
      <c r="AI95" s="34" t="s">
        <v>375</v>
      </c>
      <c r="AJ95" s="54">
        <f t="shared" si="101"/>
        <v>0</v>
      </c>
      <c r="AK95" s="54">
        <f t="shared" si="102"/>
        <v>0</v>
      </c>
      <c r="AL95" s="54">
        <f t="shared" si="103"/>
        <v>0</v>
      </c>
      <c r="AN95" s="54">
        <v>21</v>
      </c>
      <c r="AO95" s="54">
        <f t="shared" si="112"/>
        <v>0</v>
      </c>
      <c r="AP95" s="54">
        <f t="shared" si="113"/>
        <v>0</v>
      </c>
      <c r="AQ95" s="57" t="s">
        <v>108</v>
      </c>
      <c r="AV95" s="54">
        <f t="shared" si="104"/>
        <v>0</v>
      </c>
      <c r="AW95" s="54">
        <f t="shared" si="105"/>
        <v>0</v>
      </c>
      <c r="AX95" s="54">
        <f t="shared" si="106"/>
        <v>0</v>
      </c>
      <c r="AY95" s="57" t="s">
        <v>236</v>
      </c>
      <c r="AZ95" s="57" t="s">
        <v>378</v>
      </c>
      <c r="BA95" s="34" t="s">
        <v>379</v>
      </c>
      <c r="BC95" s="54">
        <f t="shared" si="107"/>
        <v>0</v>
      </c>
      <c r="BD95" s="54">
        <f t="shared" si="108"/>
        <v>0</v>
      </c>
      <c r="BE95" s="54">
        <v>0</v>
      </c>
      <c r="BF95" s="54">
        <f>95</f>
        <v>95</v>
      </c>
      <c r="BH95" s="54">
        <f t="shared" si="109"/>
        <v>0</v>
      </c>
      <c r="BI95" s="54">
        <f t="shared" si="110"/>
        <v>0</v>
      </c>
      <c r="BJ95" s="54">
        <f t="shared" si="111"/>
        <v>0</v>
      </c>
      <c r="BK95" s="57" t="s">
        <v>115</v>
      </c>
      <c r="BL95" s="54">
        <v>18</v>
      </c>
      <c r="BW95" s="54">
        <v>21</v>
      </c>
      <c r="BX95" s="3" t="s">
        <v>392</v>
      </c>
    </row>
    <row r="96" spans="1:76" x14ac:dyDescent="0.25">
      <c r="A96" s="1" t="s">
        <v>321</v>
      </c>
      <c r="B96" s="2" t="s">
        <v>394</v>
      </c>
      <c r="C96" s="83" t="s">
        <v>395</v>
      </c>
      <c r="D96" s="78"/>
      <c r="E96" s="2" t="s">
        <v>136</v>
      </c>
      <c r="F96" s="54">
        <f>'Stavební rozpočet'!F128</f>
        <v>0.01</v>
      </c>
      <c r="G96" s="54">
        <f>'Stavební rozpočet'!G128</f>
        <v>0</v>
      </c>
      <c r="H96" s="54">
        <f t="shared" si="90"/>
        <v>0</v>
      </c>
      <c r="I96" s="54">
        <f t="shared" si="91"/>
        <v>0</v>
      </c>
      <c r="J96" s="54">
        <f t="shared" si="92"/>
        <v>0</v>
      </c>
      <c r="K96" s="56" t="s">
        <v>120</v>
      </c>
      <c r="Z96" s="54">
        <f t="shared" si="93"/>
        <v>0</v>
      </c>
      <c r="AB96" s="54">
        <f t="shared" si="94"/>
        <v>0</v>
      </c>
      <c r="AC96" s="54">
        <f t="shared" si="95"/>
        <v>0</v>
      </c>
      <c r="AD96" s="54">
        <f t="shared" si="96"/>
        <v>0</v>
      </c>
      <c r="AE96" s="54">
        <f t="shared" si="97"/>
        <v>0</v>
      </c>
      <c r="AF96" s="54">
        <f t="shared" si="98"/>
        <v>0</v>
      </c>
      <c r="AG96" s="54">
        <f t="shared" si="99"/>
        <v>0</v>
      </c>
      <c r="AH96" s="54">
        <f t="shared" si="100"/>
        <v>0</v>
      </c>
      <c r="AI96" s="34" t="s">
        <v>375</v>
      </c>
      <c r="AJ96" s="54">
        <f t="shared" si="101"/>
        <v>0</v>
      </c>
      <c r="AK96" s="54">
        <f t="shared" si="102"/>
        <v>0</v>
      </c>
      <c r="AL96" s="54">
        <f t="shared" si="103"/>
        <v>0</v>
      </c>
      <c r="AN96" s="54">
        <v>21</v>
      </c>
      <c r="AO96" s="54">
        <f t="shared" si="112"/>
        <v>0</v>
      </c>
      <c r="AP96" s="54">
        <f t="shared" si="113"/>
        <v>0</v>
      </c>
      <c r="AQ96" s="57" t="s">
        <v>108</v>
      </c>
      <c r="AV96" s="54">
        <f t="shared" si="104"/>
        <v>0</v>
      </c>
      <c r="AW96" s="54">
        <f t="shared" si="105"/>
        <v>0</v>
      </c>
      <c r="AX96" s="54">
        <f t="shared" si="106"/>
        <v>0</v>
      </c>
      <c r="AY96" s="57" t="s">
        <v>236</v>
      </c>
      <c r="AZ96" s="57" t="s">
        <v>378</v>
      </c>
      <c r="BA96" s="34" t="s">
        <v>379</v>
      </c>
      <c r="BC96" s="54">
        <f t="shared" si="107"/>
        <v>0</v>
      </c>
      <c r="BD96" s="54">
        <f t="shared" si="108"/>
        <v>0</v>
      </c>
      <c r="BE96" s="54">
        <v>0</v>
      </c>
      <c r="BF96" s="54">
        <f>96</f>
        <v>96</v>
      </c>
      <c r="BH96" s="54">
        <f t="shared" si="109"/>
        <v>0</v>
      </c>
      <c r="BI96" s="54">
        <f t="shared" si="110"/>
        <v>0</v>
      </c>
      <c r="BJ96" s="54">
        <f t="shared" si="111"/>
        <v>0</v>
      </c>
      <c r="BK96" s="57" t="s">
        <v>115</v>
      </c>
      <c r="BL96" s="54">
        <v>18</v>
      </c>
      <c r="BW96" s="54">
        <v>21</v>
      </c>
      <c r="BX96" s="3" t="s">
        <v>395</v>
      </c>
    </row>
    <row r="97" spans="1:76" x14ac:dyDescent="0.25">
      <c r="A97" s="1" t="s">
        <v>322</v>
      </c>
      <c r="B97" s="2" t="s">
        <v>397</v>
      </c>
      <c r="C97" s="83" t="s">
        <v>398</v>
      </c>
      <c r="D97" s="78"/>
      <c r="E97" s="2" t="s">
        <v>119</v>
      </c>
      <c r="F97" s="54">
        <f>'Stavební rozpočet'!F129</f>
        <v>439.4</v>
      </c>
      <c r="G97" s="54">
        <f>'Stavební rozpočet'!G129</f>
        <v>0</v>
      </c>
      <c r="H97" s="54">
        <f t="shared" si="90"/>
        <v>0</v>
      </c>
      <c r="I97" s="54">
        <f t="shared" si="91"/>
        <v>0</v>
      </c>
      <c r="J97" s="54">
        <f t="shared" si="92"/>
        <v>0</v>
      </c>
      <c r="K97" s="56" t="s">
        <v>120</v>
      </c>
      <c r="Z97" s="54">
        <f t="shared" si="93"/>
        <v>0</v>
      </c>
      <c r="AB97" s="54">
        <f t="shared" si="94"/>
        <v>0</v>
      </c>
      <c r="AC97" s="54">
        <f t="shared" si="95"/>
        <v>0</v>
      </c>
      <c r="AD97" s="54">
        <f t="shared" si="96"/>
        <v>0</v>
      </c>
      <c r="AE97" s="54">
        <f t="shared" si="97"/>
        <v>0</v>
      </c>
      <c r="AF97" s="54">
        <f t="shared" si="98"/>
        <v>0</v>
      </c>
      <c r="AG97" s="54">
        <f t="shared" si="99"/>
        <v>0</v>
      </c>
      <c r="AH97" s="54">
        <f t="shared" si="100"/>
        <v>0</v>
      </c>
      <c r="AI97" s="34" t="s">
        <v>375</v>
      </c>
      <c r="AJ97" s="54">
        <f t="shared" si="101"/>
        <v>0</v>
      </c>
      <c r="AK97" s="54">
        <f t="shared" si="102"/>
        <v>0</v>
      </c>
      <c r="AL97" s="54">
        <f t="shared" si="103"/>
        <v>0</v>
      </c>
      <c r="AN97" s="54">
        <v>21</v>
      </c>
      <c r="AO97" s="54">
        <f>G97*0.064326098</f>
        <v>0</v>
      </c>
      <c r="AP97" s="54">
        <f>G97*(1-0.064326098)</f>
        <v>0</v>
      </c>
      <c r="AQ97" s="57" t="s">
        <v>108</v>
      </c>
      <c r="AV97" s="54">
        <f t="shared" si="104"/>
        <v>0</v>
      </c>
      <c r="AW97" s="54">
        <f t="shared" si="105"/>
        <v>0</v>
      </c>
      <c r="AX97" s="54">
        <f t="shared" si="106"/>
        <v>0</v>
      </c>
      <c r="AY97" s="57" t="s">
        <v>236</v>
      </c>
      <c r="AZ97" s="57" t="s">
        <v>378</v>
      </c>
      <c r="BA97" s="34" t="s">
        <v>379</v>
      </c>
      <c r="BC97" s="54">
        <f t="shared" si="107"/>
        <v>0</v>
      </c>
      <c r="BD97" s="54">
        <f t="shared" si="108"/>
        <v>0</v>
      </c>
      <c r="BE97" s="54">
        <v>0</v>
      </c>
      <c r="BF97" s="54">
        <f>97</f>
        <v>97</v>
      </c>
      <c r="BH97" s="54">
        <f t="shared" si="109"/>
        <v>0</v>
      </c>
      <c r="BI97" s="54">
        <f t="shared" si="110"/>
        <v>0</v>
      </c>
      <c r="BJ97" s="54">
        <f t="shared" si="111"/>
        <v>0</v>
      </c>
      <c r="BK97" s="57" t="s">
        <v>115</v>
      </c>
      <c r="BL97" s="54">
        <v>18</v>
      </c>
      <c r="BW97" s="54">
        <v>21</v>
      </c>
      <c r="BX97" s="3" t="s">
        <v>398</v>
      </c>
    </row>
    <row r="98" spans="1:76" x14ac:dyDescent="0.25">
      <c r="A98" s="1" t="s">
        <v>324</v>
      </c>
      <c r="B98" s="2" t="s">
        <v>400</v>
      </c>
      <c r="C98" s="83" t="s">
        <v>401</v>
      </c>
      <c r="D98" s="78"/>
      <c r="E98" s="2" t="s">
        <v>177</v>
      </c>
      <c r="F98" s="54">
        <f>'Stavební rozpočet'!F130</f>
        <v>4.38</v>
      </c>
      <c r="G98" s="54">
        <f>'Stavební rozpočet'!G130</f>
        <v>0</v>
      </c>
      <c r="H98" s="54">
        <f t="shared" si="90"/>
        <v>0</v>
      </c>
      <c r="I98" s="54">
        <f t="shared" si="91"/>
        <v>0</v>
      </c>
      <c r="J98" s="54">
        <f t="shared" si="92"/>
        <v>0</v>
      </c>
      <c r="K98" s="56" t="s">
        <v>120</v>
      </c>
      <c r="Z98" s="54">
        <f t="shared" si="93"/>
        <v>0</v>
      </c>
      <c r="AB98" s="54">
        <f t="shared" si="94"/>
        <v>0</v>
      </c>
      <c r="AC98" s="54">
        <f t="shared" si="95"/>
        <v>0</v>
      </c>
      <c r="AD98" s="54">
        <f t="shared" si="96"/>
        <v>0</v>
      </c>
      <c r="AE98" s="54">
        <f t="shared" si="97"/>
        <v>0</v>
      </c>
      <c r="AF98" s="54">
        <f t="shared" si="98"/>
        <v>0</v>
      </c>
      <c r="AG98" s="54">
        <f t="shared" si="99"/>
        <v>0</v>
      </c>
      <c r="AH98" s="54">
        <f t="shared" si="100"/>
        <v>0</v>
      </c>
      <c r="AI98" s="34" t="s">
        <v>375</v>
      </c>
      <c r="AJ98" s="54">
        <f t="shared" si="101"/>
        <v>0</v>
      </c>
      <c r="AK98" s="54">
        <f t="shared" si="102"/>
        <v>0</v>
      </c>
      <c r="AL98" s="54">
        <f t="shared" si="103"/>
        <v>0</v>
      </c>
      <c r="AN98" s="54">
        <v>21</v>
      </c>
      <c r="AO98" s="54">
        <f>G98*0.284157216</f>
        <v>0</v>
      </c>
      <c r="AP98" s="54">
        <f>G98*(1-0.284157216)</f>
        <v>0</v>
      </c>
      <c r="AQ98" s="57" t="s">
        <v>108</v>
      </c>
      <c r="AV98" s="54">
        <f t="shared" si="104"/>
        <v>0</v>
      </c>
      <c r="AW98" s="54">
        <f t="shared" si="105"/>
        <v>0</v>
      </c>
      <c r="AX98" s="54">
        <f t="shared" si="106"/>
        <v>0</v>
      </c>
      <c r="AY98" s="57" t="s">
        <v>236</v>
      </c>
      <c r="AZ98" s="57" t="s">
        <v>378</v>
      </c>
      <c r="BA98" s="34" t="s">
        <v>379</v>
      </c>
      <c r="BC98" s="54">
        <f t="shared" si="107"/>
        <v>0</v>
      </c>
      <c r="BD98" s="54">
        <f t="shared" si="108"/>
        <v>0</v>
      </c>
      <c r="BE98" s="54">
        <v>0</v>
      </c>
      <c r="BF98" s="54">
        <f>98</f>
        <v>98</v>
      </c>
      <c r="BH98" s="54">
        <f t="shared" si="109"/>
        <v>0</v>
      </c>
      <c r="BI98" s="54">
        <f t="shared" si="110"/>
        <v>0</v>
      </c>
      <c r="BJ98" s="54">
        <f t="shared" si="111"/>
        <v>0</v>
      </c>
      <c r="BK98" s="57" t="s">
        <v>115</v>
      </c>
      <c r="BL98" s="54">
        <v>18</v>
      </c>
      <c r="BW98" s="54">
        <v>21</v>
      </c>
      <c r="BX98" s="3" t="s">
        <v>401</v>
      </c>
    </row>
    <row r="99" spans="1:76" x14ac:dyDescent="0.25">
      <c r="A99" s="49" t="s">
        <v>4</v>
      </c>
      <c r="B99" s="50" t="s">
        <v>258</v>
      </c>
      <c r="C99" s="161" t="s">
        <v>259</v>
      </c>
      <c r="D99" s="162"/>
      <c r="E99" s="51" t="s">
        <v>69</v>
      </c>
      <c r="F99" s="51" t="s">
        <v>69</v>
      </c>
      <c r="G99" s="51" t="s">
        <v>69</v>
      </c>
      <c r="H99" s="28">
        <f>SUM(H100:H100)</f>
        <v>0</v>
      </c>
      <c r="I99" s="28">
        <f>SUM(I100:I100)</f>
        <v>0</v>
      </c>
      <c r="J99" s="28">
        <f>SUM(J100:J100)</f>
        <v>0</v>
      </c>
      <c r="K99" s="53" t="s">
        <v>4</v>
      </c>
      <c r="AI99" s="34" t="s">
        <v>375</v>
      </c>
      <c r="AS99" s="28">
        <f>SUM(AJ100:AJ100)</f>
        <v>0</v>
      </c>
      <c r="AT99" s="28">
        <f>SUM(AK100:AK100)</f>
        <v>0</v>
      </c>
      <c r="AU99" s="28">
        <f>SUM(AL100:AL100)</f>
        <v>0</v>
      </c>
    </row>
    <row r="100" spans="1:76" x14ac:dyDescent="0.25">
      <c r="A100" s="1" t="s">
        <v>325</v>
      </c>
      <c r="B100" s="2" t="s">
        <v>219</v>
      </c>
      <c r="C100" s="83" t="s">
        <v>220</v>
      </c>
      <c r="D100" s="78"/>
      <c r="E100" s="2" t="s">
        <v>136</v>
      </c>
      <c r="F100" s="54">
        <f>'Stavební rozpočet'!F132</f>
        <v>2.1999999999999999E-2</v>
      </c>
      <c r="G100" s="54">
        <f>'Stavební rozpočet'!G132</f>
        <v>0</v>
      </c>
      <c r="H100" s="54">
        <f>ROUND(F100*AO100,2)</f>
        <v>0</v>
      </c>
      <c r="I100" s="54">
        <f>ROUND(F100*AP100,2)</f>
        <v>0</v>
      </c>
      <c r="J100" s="54">
        <f>ROUND(F100*G100,2)</f>
        <v>0</v>
      </c>
      <c r="K100" s="56" t="s">
        <v>120</v>
      </c>
      <c r="Z100" s="54">
        <f>ROUND(IF(AQ100="5",BJ100,0),2)</f>
        <v>0</v>
      </c>
      <c r="AB100" s="54">
        <f>ROUND(IF(AQ100="1",BH100,0),2)</f>
        <v>0</v>
      </c>
      <c r="AC100" s="54">
        <f>ROUND(IF(AQ100="1",BI100,0),2)</f>
        <v>0</v>
      </c>
      <c r="AD100" s="54">
        <f>ROUND(IF(AQ100="7",BH100,0),2)</f>
        <v>0</v>
      </c>
      <c r="AE100" s="54">
        <f>ROUND(IF(AQ100="7",BI100,0),2)</f>
        <v>0</v>
      </c>
      <c r="AF100" s="54">
        <f>ROUND(IF(AQ100="2",BH100,0),2)</f>
        <v>0</v>
      </c>
      <c r="AG100" s="54">
        <f>ROUND(IF(AQ100="2",BI100,0),2)</f>
        <v>0</v>
      </c>
      <c r="AH100" s="54">
        <f>ROUND(IF(AQ100="0",BJ100,0),2)</f>
        <v>0</v>
      </c>
      <c r="AI100" s="34" t="s">
        <v>375</v>
      </c>
      <c r="AJ100" s="54">
        <f>IF(AN100=0,J100,0)</f>
        <v>0</v>
      </c>
      <c r="AK100" s="54">
        <f>IF(AN100=0,J100,0)</f>
        <v>0</v>
      </c>
      <c r="AL100" s="54">
        <f>IF(AN100=21,J100,0)</f>
        <v>0</v>
      </c>
      <c r="AN100" s="54">
        <v>21</v>
      </c>
      <c r="AO100" s="54">
        <f>G100*0</f>
        <v>0</v>
      </c>
      <c r="AP100" s="54">
        <f>G100*(1-0)</f>
        <v>0</v>
      </c>
      <c r="AQ100" s="57" t="s">
        <v>129</v>
      </c>
      <c r="AV100" s="54">
        <f>ROUND(AW100+AX100,2)</f>
        <v>0</v>
      </c>
      <c r="AW100" s="54">
        <f>ROUND(F100*AO100,2)</f>
        <v>0</v>
      </c>
      <c r="AX100" s="54">
        <f>ROUND(F100*AP100,2)</f>
        <v>0</v>
      </c>
      <c r="AY100" s="57" t="s">
        <v>261</v>
      </c>
      <c r="AZ100" s="57" t="s">
        <v>403</v>
      </c>
      <c r="BA100" s="34" t="s">
        <v>379</v>
      </c>
      <c r="BC100" s="54">
        <f>AW100+AX100</f>
        <v>0</v>
      </c>
      <c r="BD100" s="54">
        <f>G100/(100-BE100)*100</f>
        <v>0</v>
      </c>
      <c r="BE100" s="54">
        <v>0</v>
      </c>
      <c r="BF100" s="54">
        <f>100</f>
        <v>100</v>
      </c>
      <c r="BH100" s="54">
        <f>F100*AO100</f>
        <v>0</v>
      </c>
      <c r="BI100" s="54">
        <f>F100*AP100</f>
        <v>0</v>
      </c>
      <c r="BJ100" s="54">
        <f>F100*G100</f>
        <v>0</v>
      </c>
      <c r="BK100" s="57" t="s">
        <v>115</v>
      </c>
      <c r="BL100" s="54"/>
      <c r="BW100" s="54">
        <v>21</v>
      </c>
      <c r="BX100" s="3" t="s">
        <v>220</v>
      </c>
    </row>
    <row r="101" spans="1:76" x14ac:dyDescent="0.25">
      <c r="A101" s="60" t="s">
        <v>4</v>
      </c>
      <c r="B101" s="61" t="s">
        <v>4</v>
      </c>
      <c r="C101" s="167" t="s">
        <v>413</v>
      </c>
      <c r="D101" s="168"/>
      <c r="E101" s="62" t="s">
        <v>69</v>
      </c>
      <c r="F101" s="62" t="s">
        <v>69</v>
      </c>
      <c r="G101" s="62" t="s">
        <v>69</v>
      </c>
      <c r="H101" s="63">
        <f>H102+H115+H120</f>
        <v>0</v>
      </c>
      <c r="I101" s="63">
        <f>I102+I115+I120</f>
        <v>0</v>
      </c>
      <c r="J101" s="63">
        <f>J102+J115+J120</f>
        <v>0</v>
      </c>
      <c r="K101" s="64" t="s">
        <v>4</v>
      </c>
    </row>
    <row r="102" spans="1:76" x14ac:dyDescent="0.25">
      <c r="A102" s="49" t="s">
        <v>4</v>
      </c>
      <c r="B102" s="50" t="s">
        <v>127</v>
      </c>
      <c r="C102" s="161" t="s">
        <v>128</v>
      </c>
      <c r="D102" s="162"/>
      <c r="E102" s="51" t="s">
        <v>69</v>
      </c>
      <c r="F102" s="51" t="s">
        <v>69</v>
      </c>
      <c r="G102" s="51" t="s">
        <v>69</v>
      </c>
      <c r="H102" s="28">
        <f>SUM(H103:H113)</f>
        <v>0</v>
      </c>
      <c r="I102" s="28">
        <f>SUM(I103:I113)</f>
        <v>0</v>
      </c>
      <c r="J102" s="28">
        <f>SUM(J103:J113)</f>
        <v>0</v>
      </c>
      <c r="K102" s="53" t="s">
        <v>4</v>
      </c>
      <c r="AI102" s="34" t="s">
        <v>414</v>
      </c>
      <c r="AS102" s="28">
        <f>SUM(AJ103:AJ113)</f>
        <v>0</v>
      </c>
      <c r="AT102" s="28">
        <f>SUM(AK103:AK113)</f>
        <v>0</v>
      </c>
      <c r="AU102" s="28">
        <f>SUM(AL103:AL113)</f>
        <v>0</v>
      </c>
    </row>
    <row r="103" spans="1:76" x14ac:dyDescent="0.25">
      <c r="A103" s="1" t="s">
        <v>328</v>
      </c>
      <c r="B103" s="2" t="s">
        <v>416</v>
      </c>
      <c r="C103" s="83" t="s">
        <v>417</v>
      </c>
      <c r="D103" s="78"/>
      <c r="E103" s="2" t="s">
        <v>418</v>
      </c>
      <c r="F103" s="54">
        <f>'Stavební rozpočet'!F140</f>
        <v>1</v>
      </c>
      <c r="G103" s="54">
        <f>'Stavební rozpočet'!G140</f>
        <v>0</v>
      </c>
      <c r="H103" s="54">
        <f>ROUND(F103*AO103,2)</f>
        <v>0</v>
      </c>
      <c r="I103" s="54">
        <f>ROUND(F103*AP103,2)</f>
        <v>0</v>
      </c>
      <c r="J103" s="54">
        <f>ROUND(F103*G103,2)</f>
        <v>0</v>
      </c>
      <c r="K103" s="56" t="s">
        <v>4</v>
      </c>
      <c r="Z103" s="54">
        <f>ROUND(IF(AQ103="5",BJ103,0),2)</f>
        <v>0</v>
      </c>
      <c r="AB103" s="54">
        <f>ROUND(IF(AQ103="1",BH103,0),2)</f>
        <v>0</v>
      </c>
      <c r="AC103" s="54">
        <f>ROUND(IF(AQ103="1",BI103,0),2)</f>
        <v>0</v>
      </c>
      <c r="AD103" s="54">
        <f>ROUND(IF(AQ103="7",BH103,0),2)</f>
        <v>0</v>
      </c>
      <c r="AE103" s="54">
        <f>ROUND(IF(AQ103="7",BI103,0),2)</f>
        <v>0</v>
      </c>
      <c r="AF103" s="54">
        <f>ROUND(IF(AQ103="2",BH103,0),2)</f>
        <v>0</v>
      </c>
      <c r="AG103" s="54">
        <f>ROUND(IF(AQ103="2",BI103,0),2)</f>
        <v>0</v>
      </c>
      <c r="AH103" s="54">
        <f>ROUND(IF(AQ103="0",BJ103,0),2)</f>
        <v>0</v>
      </c>
      <c r="AI103" s="34" t="s">
        <v>414</v>
      </c>
      <c r="AJ103" s="54">
        <f>IF(AN103=0,J103,0)</f>
        <v>0</v>
      </c>
      <c r="AK103" s="54">
        <f>IF(AN103=0,J103,0)</f>
        <v>0</v>
      </c>
      <c r="AL103" s="54">
        <f>IF(AN103=21,J103,0)</f>
        <v>0</v>
      </c>
      <c r="AN103" s="54">
        <v>21</v>
      </c>
      <c r="AO103" s="54">
        <f>G103*0</f>
        <v>0</v>
      </c>
      <c r="AP103" s="54">
        <f>G103*(1-0)</f>
        <v>0</v>
      </c>
      <c r="AQ103" s="57" t="s">
        <v>108</v>
      </c>
      <c r="AV103" s="54">
        <f>ROUND(AW103+AX103,2)</f>
        <v>0</v>
      </c>
      <c r="AW103" s="54">
        <f>ROUND(F103*AO103,2)</f>
        <v>0</v>
      </c>
      <c r="AX103" s="54">
        <f>ROUND(F103*AP103,2)</f>
        <v>0</v>
      </c>
      <c r="AY103" s="57" t="s">
        <v>132</v>
      </c>
      <c r="AZ103" s="57" t="s">
        <v>419</v>
      </c>
      <c r="BA103" s="34" t="s">
        <v>420</v>
      </c>
      <c r="BC103" s="54">
        <f>AW103+AX103</f>
        <v>0</v>
      </c>
      <c r="BD103" s="54">
        <f>G103/(100-BE103)*100</f>
        <v>0</v>
      </c>
      <c r="BE103" s="54">
        <v>0</v>
      </c>
      <c r="BF103" s="54">
        <f>103</f>
        <v>103</v>
      </c>
      <c r="BH103" s="54">
        <f>F103*AO103</f>
        <v>0</v>
      </c>
      <c r="BI103" s="54">
        <f>F103*AP103</f>
        <v>0</v>
      </c>
      <c r="BJ103" s="54">
        <f>F103*G103</f>
        <v>0</v>
      </c>
      <c r="BK103" s="57" t="s">
        <v>115</v>
      </c>
      <c r="BL103" s="54">
        <v>11</v>
      </c>
      <c r="BW103" s="54">
        <v>21</v>
      </c>
      <c r="BX103" s="3" t="s">
        <v>417</v>
      </c>
    </row>
    <row r="104" spans="1:76" x14ac:dyDescent="0.25">
      <c r="A104" s="1" t="s">
        <v>333</v>
      </c>
      <c r="B104" s="2" t="s">
        <v>422</v>
      </c>
      <c r="C104" s="83" t="s">
        <v>423</v>
      </c>
      <c r="D104" s="78"/>
      <c r="E104" s="2" t="s">
        <v>214</v>
      </c>
      <c r="F104" s="54">
        <f>'Stavební rozpočet'!F141</f>
        <v>1</v>
      </c>
      <c r="G104" s="54">
        <f>'Stavební rozpočet'!G141</f>
        <v>0</v>
      </c>
      <c r="H104" s="54">
        <f>ROUND(F104*AO104,2)</f>
        <v>0</v>
      </c>
      <c r="I104" s="54">
        <f>ROUND(F104*AP104,2)</f>
        <v>0</v>
      </c>
      <c r="J104" s="54">
        <f>ROUND(F104*G104,2)</f>
        <v>0</v>
      </c>
      <c r="K104" s="56" t="s">
        <v>4</v>
      </c>
      <c r="Z104" s="54">
        <f>ROUND(IF(AQ104="5",BJ104,0),2)</f>
        <v>0</v>
      </c>
      <c r="AB104" s="54">
        <f>ROUND(IF(AQ104="1",BH104,0),2)</f>
        <v>0</v>
      </c>
      <c r="AC104" s="54">
        <f>ROUND(IF(AQ104="1",BI104,0),2)</f>
        <v>0</v>
      </c>
      <c r="AD104" s="54">
        <f>ROUND(IF(AQ104="7",BH104,0),2)</f>
        <v>0</v>
      </c>
      <c r="AE104" s="54">
        <f>ROUND(IF(AQ104="7",BI104,0),2)</f>
        <v>0</v>
      </c>
      <c r="AF104" s="54">
        <f>ROUND(IF(AQ104="2",BH104,0),2)</f>
        <v>0</v>
      </c>
      <c r="AG104" s="54">
        <f>ROUND(IF(AQ104="2",BI104,0),2)</f>
        <v>0</v>
      </c>
      <c r="AH104" s="54">
        <f>ROUND(IF(AQ104="0",BJ104,0),2)</f>
        <v>0</v>
      </c>
      <c r="AI104" s="34" t="s">
        <v>414</v>
      </c>
      <c r="AJ104" s="54">
        <f>IF(AN104=0,J104,0)</f>
        <v>0</v>
      </c>
      <c r="AK104" s="54">
        <f>IF(AN104=0,J104,0)</f>
        <v>0</v>
      </c>
      <c r="AL104" s="54">
        <f>IF(AN104=21,J104,0)</f>
        <v>0</v>
      </c>
      <c r="AN104" s="54">
        <v>21</v>
      </c>
      <c r="AO104" s="54">
        <f>G104*0</f>
        <v>0</v>
      </c>
      <c r="AP104" s="54">
        <f>G104*(1-0)</f>
        <v>0</v>
      </c>
      <c r="AQ104" s="57" t="s">
        <v>108</v>
      </c>
      <c r="AV104" s="54">
        <f>ROUND(AW104+AX104,2)</f>
        <v>0</v>
      </c>
      <c r="AW104" s="54">
        <f>ROUND(F104*AO104,2)</f>
        <v>0</v>
      </c>
      <c r="AX104" s="54">
        <f>ROUND(F104*AP104,2)</f>
        <v>0</v>
      </c>
      <c r="AY104" s="57" t="s">
        <v>132</v>
      </c>
      <c r="AZ104" s="57" t="s">
        <v>419</v>
      </c>
      <c r="BA104" s="34" t="s">
        <v>420</v>
      </c>
      <c r="BC104" s="54">
        <f>AW104+AX104</f>
        <v>0</v>
      </c>
      <c r="BD104" s="54">
        <f>G104/(100-BE104)*100</f>
        <v>0</v>
      </c>
      <c r="BE104" s="54">
        <v>0</v>
      </c>
      <c r="BF104" s="54">
        <f>104</f>
        <v>104</v>
      </c>
      <c r="BH104" s="54">
        <f>F104*AO104</f>
        <v>0</v>
      </c>
      <c r="BI104" s="54">
        <f>F104*AP104</f>
        <v>0</v>
      </c>
      <c r="BJ104" s="54">
        <f>F104*G104</f>
        <v>0</v>
      </c>
      <c r="BK104" s="57" t="s">
        <v>115</v>
      </c>
      <c r="BL104" s="54">
        <v>11</v>
      </c>
      <c r="BW104" s="54">
        <v>21</v>
      </c>
      <c r="BX104" s="3" t="s">
        <v>423</v>
      </c>
    </row>
    <row r="105" spans="1:76" x14ac:dyDescent="0.25">
      <c r="A105" s="1" t="s">
        <v>336</v>
      </c>
      <c r="B105" s="2" t="s">
        <v>425</v>
      </c>
      <c r="C105" s="83" t="s">
        <v>426</v>
      </c>
      <c r="D105" s="78"/>
      <c r="E105" s="2" t="s">
        <v>119</v>
      </c>
      <c r="F105" s="54">
        <f>'Stavební rozpočet'!F142</f>
        <v>70.2</v>
      </c>
      <c r="G105" s="54">
        <f>'Stavební rozpočet'!G142</f>
        <v>0</v>
      </c>
      <c r="H105" s="54">
        <f>ROUND(F105*AO105,2)</f>
        <v>0</v>
      </c>
      <c r="I105" s="54">
        <f>ROUND(F105*AP105,2)</f>
        <v>0</v>
      </c>
      <c r="J105" s="54">
        <f>ROUND(F105*G105,2)</f>
        <v>0</v>
      </c>
      <c r="K105" s="56" t="s">
        <v>120</v>
      </c>
      <c r="Z105" s="54">
        <f>ROUND(IF(AQ105="5",BJ105,0),2)</f>
        <v>0</v>
      </c>
      <c r="AB105" s="54">
        <f>ROUND(IF(AQ105="1",BH105,0),2)</f>
        <v>0</v>
      </c>
      <c r="AC105" s="54">
        <f>ROUND(IF(AQ105="1",BI105,0),2)</f>
        <v>0</v>
      </c>
      <c r="AD105" s="54">
        <f>ROUND(IF(AQ105="7",BH105,0),2)</f>
        <v>0</v>
      </c>
      <c r="AE105" s="54">
        <f>ROUND(IF(AQ105="7",BI105,0),2)</f>
        <v>0</v>
      </c>
      <c r="AF105" s="54">
        <f>ROUND(IF(AQ105="2",BH105,0),2)</f>
        <v>0</v>
      </c>
      <c r="AG105" s="54">
        <f>ROUND(IF(AQ105="2",BI105,0),2)</f>
        <v>0</v>
      </c>
      <c r="AH105" s="54">
        <f>ROUND(IF(AQ105="0",BJ105,0),2)</f>
        <v>0</v>
      </c>
      <c r="AI105" s="34" t="s">
        <v>414</v>
      </c>
      <c r="AJ105" s="54">
        <f>IF(AN105=0,J105,0)</f>
        <v>0</v>
      </c>
      <c r="AK105" s="54">
        <f>IF(AN105=0,J105,0)</f>
        <v>0</v>
      </c>
      <c r="AL105" s="54">
        <f>IF(AN105=21,J105,0)</f>
        <v>0</v>
      </c>
      <c r="AN105" s="54">
        <v>21</v>
      </c>
      <c r="AO105" s="54">
        <f>G105*0</f>
        <v>0</v>
      </c>
      <c r="AP105" s="54">
        <f>G105*(1-0)</f>
        <v>0</v>
      </c>
      <c r="AQ105" s="57" t="s">
        <v>108</v>
      </c>
      <c r="AV105" s="54">
        <f>ROUND(AW105+AX105,2)</f>
        <v>0</v>
      </c>
      <c r="AW105" s="54">
        <f>ROUND(F105*AO105,2)</f>
        <v>0</v>
      </c>
      <c r="AX105" s="54">
        <f>ROUND(F105*AP105,2)</f>
        <v>0</v>
      </c>
      <c r="AY105" s="57" t="s">
        <v>132</v>
      </c>
      <c r="AZ105" s="57" t="s">
        <v>419</v>
      </c>
      <c r="BA105" s="34" t="s">
        <v>420</v>
      </c>
      <c r="BC105" s="54">
        <f>AW105+AX105</f>
        <v>0</v>
      </c>
      <c r="BD105" s="54">
        <f>G105/(100-BE105)*100</f>
        <v>0</v>
      </c>
      <c r="BE105" s="54">
        <v>0</v>
      </c>
      <c r="BF105" s="54">
        <f>105</f>
        <v>105</v>
      </c>
      <c r="BH105" s="54">
        <f>F105*AO105</f>
        <v>0</v>
      </c>
      <c r="BI105" s="54">
        <f>F105*AP105</f>
        <v>0</v>
      </c>
      <c r="BJ105" s="54">
        <f>F105*G105</f>
        <v>0</v>
      </c>
      <c r="BK105" s="57" t="s">
        <v>115</v>
      </c>
      <c r="BL105" s="54">
        <v>11</v>
      </c>
      <c r="BW105" s="54">
        <v>21</v>
      </c>
      <c r="BX105" s="3" t="s">
        <v>426</v>
      </c>
    </row>
    <row r="106" spans="1:76" x14ac:dyDescent="0.25">
      <c r="A106" s="1" t="s">
        <v>339</v>
      </c>
      <c r="B106" s="2" t="s">
        <v>428</v>
      </c>
      <c r="C106" s="83" t="s">
        <v>429</v>
      </c>
      <c r="D106" s="78"/>
      <c r="E106" s="2" t="s">
        <v>177</v>
      </c>
      <c r="F106" s="54">
        <f>'Stavební rozpočet'!F143</f>
        <v>22.85</v>
      </c>
      <c r="G106" s="54">
        <f>'Stavební rozpočet'!G143</f>
        <v>0</v>
      </c>
      <c r="H106" s="54">
        <f>ROUND(F106*AO106,2)</f>
        <v>0</v>
      </c>
      <c r="I106" s="54">
        <f>ROUND(F106*AP106,2)</f>
        <v>0</v>
      </c>
      <c r="J106" s="54">
        <f>ROUND(F106*G106,2)</f>
        <v>0</v>
      </c>
      <c r="K106" s="56" t="s">
        <v>120</v>
      </c>
      <c r="Z106" s="54">
        <f>ROUND(IF(AQ106="5",BJ106,0),2)</f>
        <v>0</v>
      </c>
      <c r="AB106" s="54">
        <f>ROUND(IF(AQ106="1",BH106,0),2)</f>
        <v>0</v>
      </c>
      <c r="AC106" s="54">
        <f>ROUND(IF(AQ106="1",BI106,0),2)</f>
        <v>0</v>
      </c>
      <c r="AD106" s="54">
        <f>ROUND(IF(AQ106="7",BH106,0),2)</f>
        <v>0</v>
      </c>
      <c r="AE106" s="54">
        <f>ROUND(IF(AQ106="7",BI106,0),2)</f>
        <v>0</v>
      </c>
      <c r="AF106" s="54">
        <f>ROUND(IF(AQ106="2",BH106,0),2)</f>
        <v>0</v>
      </c>
      <c r="AG106" s="54">
        <f>ROUND(IF(AQ106="2",BI106,0),2)</f>
        <v>0</v>
      </c>
      <c r="AH106" s="54">
        <f>ROUND(IF(AQ106="0",BJ106,0),2)</f>
        <v>0</v>
      </c>
      <c r="AI106" s="34" t="s">
        <v>414</v>
      </c>
      <c r="AJ106" s="54">
        <f>IF(AN106=0,J106,0)</f>
        <v>0</v>
      </c>
      <c r="AK106" s="54">
        <f>IF(AN106=0,J106,0)</f>
        <v>0</v>
      </c>
      <c r="AL106" s="54">
        <f>IF(AN106=21,J106,0)</f>
        <v>0</v>
      </c>
      <c r="AN106" s="54">
        <v>21</v>
      </c>
      <c r="AO106" s="54">
        <f>G106*0</f>
        <v>0</v>
      </c>
      <c r="AP106" s="54">
        <f>G106*(1-0)</f>
        <v>0</v>
      </c>
      <c r="AQ106" s="57" t="s">
        <v>108</v>
      </c>
      <c r="AV106" s="54">
        <f>ROUND(AW106+AX106,2)</f>
        <v>0</v>
      </c>
      <c r="AW106" s="54">
        <f>ROUND(F106*AO106,2)</f>
        <v>0</v>
      </c>
      <c r="AX106" s="54">
        <f>ROUND(F106*AP106,2)</f>
        <v>0</v>
      </c>
      <c r="AY106" s="57" t="s">
        <v>132</v>
      </c>
      <c r="AZ106" s="57" t="s">
        <v>419</v>
      </c>
      <c r="BA106" s="34" t="s">
        <v>420</v>
      </c>
      <c r="BC106" s="54">
        <f>AW106+AX106</f>
        <v>0</v>
      </c>
      <c r="BD106" s="54">
        <f>G106/(100-BE106)*100</f>
        <v>0</v>
      </c>
      <c r="BE106" s="54">
        <v>0</v>
      </c>
      <c r="BF106" s="54">
        <f>106</f>
        <v>106</v>
      </c>
      <c r="BH106" s="54">
        <f>F106*AO106</f>
        <v>0</v>
      </c>
      <c r="BI106" s="54">
        <f>F106*AP106</f>
        <v>0</v>
      </c>
      <c r="BJ106" s="54">
        <f>F106*G106</f>
        <v>0</v>
      </c>
      <c r="BK106" s="57" t="s">
        <v>115</v>
      </c>
      <c r="BL106" s="54">
        <v>11</v>
      </c>
      <c r="BW106" s="54">
        <v>21</v>
      </c>
      <c r="BX106" s="3" t="s">
        <v>429</v>
      </c>
    </row>
    <row r="107" spans="1:76" ht="67.5" customHeight="1" x14ac:dyDescent="0.25">
      <c r="A107" s="58"/>
      <c r="B107" s="59" t="s">
        <v>53</v>
      </c>
      <c r="C107" s="163" t="s">
        <v>430</v>
      </c>
      <c r="D107" s="164"/>
      <c r="E107" s="164"/>
      <c r="F107" s="164"/>
      <c r="G107" s="164"/>
      <c r="H107" s="164"/>
      <c r="I107" s="164"/>
      <c r="J107" s="164"/>
      <c r="K107" s="166"/>
    </row>
    <row r="108" spans="1:76" ht="25.5" x14ac:dyDescent="0.25">
      <c r="A108" s="1" t="s">
        <v>342</v>
      </c>
      <c r="B108" s="2" t="s">
        <v>432</v>
      </c>
      <c r="C108" s="83" t="s">
        <v>433</v>
      </c>
      <c r="D108" s="78"/>
      <c r="E108" s="2" t="s">
        <v>177</v>
      </c>
      <c r="F108" s="54">
        <f>'Stavební rozpočet'!F145</f>
        <v>11.1</v>
      </c>
      <c r="G108" s="54">
        <f>'Stavební rozpočet'!G145</f>
        <v>0</v>
      </c>
      <c r="H108" s="54">
        <f>ROUND(F108*AO108,2)</f>
        <v>0</v>
      </c>
      <c r="I108" s="54">
        <f>ROUND(F108*AP108,2)</f>
        <v>0</v>
      </c>
      <c r="J108" s="54">
        <f>ROUND(F108*G108,2)</f>
        <v>0</v>
      </c>
      <c r="K108" s="56" t="s">
        <v>4</v>
      </c>
      <c r="Z108" s="54">
        <f>ROUND(IF(AQ108="5",BJ108,0),2)</f>
        <v>0</v>
      </c>
      <c r="AB108" s="54">
        <f>ROUND(IF(AQ108="1",BH108,0),2)</f>
        <v>0</v>
      </c>
      <c r="AC108" s="54">
        <f>ROUND(IF(AQ108="1",BI108,0),2)</f>
        <v>0</v>
      </c>
      <c r="AD108" s="54">
        <f>ROUND(IF(AQ108="7",BH108,0),2)</f>
        <v>0</v>
      </c>
      <c r="AE108" s="54">
        <f>ROUND(IF(AQ108="7",BI108,0),2)</f>
        <v>0</v>
      </c>
      <c r="AF108" s="54">
        <f>ROUND(IF(AQ108="2",BH108,0),2)</f>
        <v>0</v>
      </c>
      <c r="AG108" s="54">
        <f>ROUND(IF(AQ108="2",BI108,0),2)</f>
        <v>0</v>
      </c>
      <c r="AH108" s="54">
        <f>ROUND(IF(AQ108="0",BJ108,0),2)</f>
        <v>0</v>
      </c>
      <c r="AI108" s="34" t="s">
        <v>414</v>
      </c>
      <c r="AJ108" s="54">
        <f>IF(AN108=0,J108,0)</f>
        <v>0</v>
      </c>
      <c r="AK108" s="54">
        <f>IF(AN108=0,J108,0)</f>
        <v>0</v>
      </c>
      <c r="AL108" s="54">
        <f>IF(AN108=21,J108,0)</f>
        <v>0</v>
      </c>
      <c r="AN108" s="54">
        <v>21</v>
      </c>
      <c r="AO108" s="54">
        <f>G108*0</f>
        <v>0</v>
      </c>
      <c r="AP108" s="54">
        <f>G108*(1-0)</f>
        <v>0</v>
      </c>
      <c r="AQ108" s="57" t="s">
        <v>108</v>
      </c>
      <c r="AV108" s="54">
        <f>ROUND(AW108+AX108,2)</f>
        <v>0</v>
      </c>
      <c r="AW108" s="54">
        <f>ROUND(F108*AO108,2)</f>
        <v>0</v>
      </c>
      <c r="AX108" s="54">
        <f>ROUND(F108*AP108,2)</f>
        <v>0</v>
      </c>
      <c r="AY108" s="57" t="s">
        <v>132</v>
      </c>
      <c r="AZ108" s="57" t="s">
        <v>419</v>
      </c>
      <c r="BA108" s="34" t="s">
        <v>420</v>
      </c>
      <c r="BC108" s="54">
        <f>AW108+AX108</f>
        <v>0</v>
      </c>
      <c r="BD108" s="54">
        <f>G108/(100-BE108)*100</f>
        <v>0</v>
      </c>
      <c r="BE108" s="54">
        <v>0</v>
      </c>
      <c r="BF108" s="54">
        <f>108</f>
        <v>108</v>
      </c>
      <c r="BH108" s="54">
        <f>F108*AO108</f>
        <v>0</v>
      </c>
      <c r="BI108" s="54">
        <f>F108*AP108</f>
        <v>0</v>
      </c>
      <c r="BJ108" s="54">
        <f>F108*G108</f>
        <v>0</v>
      </c>
      <c r="BK108" s="57" t="s">
        <v>115</v>
      </c>
      <c r="BL108" s="54">
        <v>11</v>
      </c>
      <c r="BW108" s="54">
        <v>21</v>
      </c>
      <c r="BX108" s="3" t="s">
        <v>433</v>
      </c>
    </row>
    <row r="109" spans="1:76" ht="27" customHeight="1" x14ac:dyDescent="0.25">
      <c r="A109" s="58"/>
      <c r="B109" s="59" t="s">
        <v>53</v>
      </c>
      <c r="C109" s="163" t="s">
        <v>434</v>
      </c>
      <c r="D109" s="164"/>
      <c r="E109" s="164"/>
      <c r="F109" s="164"/>
      <c r="G109" s="164"/>
      <c r="H109" s="164"/>
      <c r="I109" s="164"/>
      <c r="J109" s="164"/>
      <c r="K109" s="166"/>
    </row>
    <row r="110" spans="1:76" x14ac:dyDescent="0.25">
      <c r="A110" s="1" t="s">
        <v>345</v>
      </c>
      <c r="B110" s="2" t="s">
        <v>436</v>
      </c>
      <c r="C110" s="83" t="s">
        <v>437</v>
      </c>
      <c r="D110" s="78"/>
      <c r="E110" s="2" t="s">
        <v>119</v>
      </c>
      <c r="F110" s="54">
        <f>'Stavební rozpočet'!F147</f>
        <v>70.2</v>
      </c>
      <c r="G110" s="54">
        <f>'Stavební rozpočet'!G147</f>
        <v>0</v>
      </c>
      <c r="H110" s="54">
        <f>ROUND(F110*AO110,2)</f>
        <v>0</v>
      </c>
      <c r="I110" s="54">
        <f>ROUND(F110*AP110,2)</f>
        <v>0</v>
      </c>
      <c r="J110" s="54">
        <f>ROUND(F110*G110,2)</f>
        <v>0</v>
      </c>
      <c r="K110" s="56" t="s">
        <v>120</v>
      </c>
      <c r="Z110" s="54">
        <f>ROUND(IF(AQ110="5",BJ110,0),2)</f>
        <v>0</v>
      </c>
      <c r="AB110" s="54">
        <f>ROUND(IF(AQ110="1",BH110,0),2)</f>
        <v>0</v>
      </c>
      <c r="AC110" s="54">
        <f>ROUND(IF(AQ110="1",BI110,0),2)</f>
        <v>0</v>
      </c>
      <c r="AD110" s="54">
        <f>ROUND(IF(AQ110="7",BH110,0),2)</f>
        <v>0</v>
      </c>
      <c r="AE110" s="54">
        <f>ROUND(IF(AQ110="7",BI110,0),2)</f>
        <v>0</v>
      </c>
      <c r="AF110" s="54">
        <f>ROUND(IF(AQ110="2",BH110,0),2)</f>
        <v>0</v>
      </c>
      <c r="AG110" s="54">
        <f>ROUND(IF(AQ110="2",BI110,0),2)</f>
        <v>0</v>
      </c>
      <c r="AH110" s="54">
        <f>ROUND(IF(AQ110="0",BJ110,0),2)</f>
        <v>0</v>
      </c>
      <c r="AI110" s="34" t="s">
        <v>414</v>
      </c>
      <c r="AJ110" s="54">
        <f>IF(AN110=0,J110,0)</f>
        <v>0</v>
      </c>
      <c r="AK110" s="54">
        <f>IF(AN110=0,J110,0)</f>
        <v>0</v>
      </c>
      <c r="AL110" s="54">
        <f>IF(AN110=21,J110,0)</f>
        <v>0</v>
      </c>
      <c r="AN110" s="54">
        <v>21</v>
      </c>
      <c r="AO110" s="54">
        <f>G110*0.721020165</f>
        <v>0</v>
      </c>
      <c r="AP110" s="54">
        <f>G110*(1-0.721020165)</f>
        <v>0</v>
      </c>
      <c r="AQ110" s="57" t="s">
        <v>108</v>
      </c>
      <c r="AV110" s="54">
        <f>ROUND(AW110+AX110,2)</f>
        <v>0</v>
      </c>
      <c r="AW110" s="54">
        <f>ROUND(F110*AO110,2)</f>
        <v>0</v>
      </c>
      <c r="AX110" s="54">
        <f>ROUND(F110*AP110,2)</f>
        <v>0</v>
      </c>
      <c r="AY110" s="57" t="s">
        <v>132</v>
      </c>
      <c r="AZ110" s="57" t="s">
        <v>419</v>
      </c>
      <c r="BA110" s="34" t="s">
        <v>420</v>
      </c>
      <c r="BC110" s="54">
        <f>AW110+AX110</f>
        <v>0</v>
      </c>
      <c r="BD110" s="54">
        <f>G110/(100-BE110)*100</f>
        <v>0</v>
      </c>
      <c r="BE110" s="54">
        <v>0</v>
      </c>
      <c r="BF110" s="54">
        <f>110</f>
        <v>110</v>
      </c>
      <c r="BH110" s="54">
        <f>F110*AO110</f>
        <v>0</v>
      </c>
      <c r="BI110" s="54">
        <f>F110*AP110</f>
        <v>0</v>
      </c>
      <c r="BJ110" s="54">
        <f>F110*G110</f>
        <v>0</v>
      </c>
      <c r="BK110" s="57" t="s">
        <v>115</v>
      </c>
      <c r="BL110" s="54">
        <v>11</v>
      </c>
      <c r="BW110" s="54">
        <v>21</v>
      </c>
      <c r="BX110" s="3" t="s">
        <v>437</v>
      </c>
    </row>
    <row r="111" spans="1:76" ht="13.5" customHeight="1" x14ac:dyDescent="0.25">
      <c r="A111" s="58"/>
      <c r="B111" s="59" t="s">
        <v>53</v>
      </c>
      <c r="C111" s="163" t="s">
        <v>438</v>
      </c>
      <c r="D111" s="164"/>
      <c r="E111" s="164"/>
      <c r="F111" s="164"/>
      <c r="G111" s="164"/>
      <c r="H111" s="164"/>
      <c r="I111" s="164"/>
      <c r="J111" s="164"/>
      <c r="K111" s="166"/>
    </row>
    <row r="112" spans="1:76" ht="25.5" x14ac:dyDescent="0.25">
      <c r="A112" s="1" t="s">
        <v>348</v>
      </c>
      <c r="B112" s="2" t="s">
        <v>256</v>
      </c>
      <c r="C112" s="83" t="s">
        <v>440</v>
      </c>
      <c r="D112" s="78"/>
      <c r="E112" s="2" t="s">
        <v>177</v>
      </c>
      <c r="F112" s="54">
        <f>'Stavební rozpočet'!F149</f>
        <v>0.7</v>
      </c>
      <c r="G112" s="54">
        <f>'Stavební rozpočet'!G149</f>
        <v>0</v>
      </c>
      <c r="H112" s="54">
        <f>ROUND(F112*AO112,2)</f>
        <v>0</v>
      </c>
      <c r="I112" s="54">
        <f>ROUND(F112*AP112,2)</f>
        <v>0</v>
      </c>
      <c r="J112" s="54">
        <f>ROUND(F112*G112,2)</f>
        <v>0</v>
      </c>
      <c r="K112" s="56" t="s">
        <v>120</v>
      </c>
      <c r="Z112" s="54">
        <f>ROUND(IF(AQ112="5",BJ112,0),2)</f>
        <v>0</v>
      </c>
      <c r="AB112" s="54">
        <f>ROUND(IF(AQ112="1",BH112,0),2)</f>
        <v>0</v>
      </c>
      <c r="AC112" s="54">
        <f>ROUND(IF(AQ112="1",BI112,0),2)</f>
        <v>0</v>
      </c>
      <c r="AD112" s="54">
        <f>ROUND(IF(AQ112="7",BH112,0),2)</f>
        <v>0</v>
      </c>
      <c r="AE112" s="54">
        <f>ROUND(IF(AQ112="7",BI112,0),2)</f>
        <v>0</v>
      </c>
      <c r="AF112" s="54">
        <f>ROUND(IF(AQ112="2",BH112,0),2)</f>
        <v>0</v>
      </c>
      <c r="AG112" s="54">
        <f>ROUND(IF(AQ112="2",BI112,0),2)</f>
        <v>0</v>
      </c>
      <c r="AH112" s="54">
        <f>ROUND(IF(AQ112="0",BJ112,0),2)</f>
        <v>0</v>
      </c>
      <c r="AI112" s="34" t="s">
        <v>414</v>
      </c>
      <c r="AJ112" s="54">
        <f>IF(AN112=0,J112,0)</f>
        <v>0</v>
      </c>
      <c r="AK112" s="54">
        <f>IF(AN112=0,J112,0)</f>
        <v>0</v>
      </c>
      <c r="AL112" s="54">
        <f>IF(AN112=21,J112,0)</f>
        <v>0</v>
      </c>
      <c r="AN112" s="54">
        <v>21</v>
      </c>
      <c r="AO112" s="54">
        <f>G112*0</f>
        <v>0</v>
      </c>
      <c r="AP112" s="54">
        <f>G112*(1-0)</f>
        <v>0</v>
      </c>
      <c r="AQ112" s="57" t="s">
        <v>108</v>
      </c>
      <c r="AV112" s="54">
        <f>ROUND(AW112+AX112,2)</f>
        <v>0</v>
      </c>
      <c r="AW112" s="54">
        <f>ROUND(F112*AO112,2)</f>
        <v>0</v>
      </c>
      <c r="AX112" s="54">
        <f>ROUND(F112*AP112,2)</f>
        <v>0</v>
      </c>
      <c r="AY112" s="57" t="s">
        <v>132</v>
      </c>
      <c r="AZ112" s="57" t="s">
        <v>419</v>
      </c>
      <c r="BA112" s="34" t="s">
        <v>420</v>
      </c>
      <c r="BC112" s="54">
        <f>AW112+AX112</f>
        <v>0</v>
      </c>
      <c r="BD112" s="54">
        <f>G112/(100-BE112)*100</f>
        <v>0</v>
      </c>
      <c r="BE112" s="54">
        <v>0</v>
      </c>
      <c r="BF112" s="54">
        <f>112</f>
        <v>112</v>
      </c>
      <c r="BH112" s="54">
        <f>F112*AO112</f>
        <v>0</v>
      </c>
      <c r="BI112" s="54">
        <f>F112*AP112</f>
        <v>0</v>
      </c>
      <c r="BJ112" s="54">
        <f>F112*G112</f>
        <v>0</v>
      </c>
      <c r="BK112" s="57" t="s">
        <v>115</v>
      </c>
      <c r="BL112" s="54">
        <v>11</v>
      </c>
      <c r="BW112" s="54">
        <v>21</v>
      </c>
      <c r="BX112" s="3" t="s">
        <v>440</v>
      </c>
    </row>
    <row r="113" spans="1:76" x14ac:dyDescent="0.25">
      <c r="A113" s="1" t="s">
        <v>351</v>
      </c>
      <c r="B113" s="2" t="s">
        <v>442</v>
      </c>
      <c r="C113" s="83" t="s">
        <v>443</v>
      </c>
      <c r="D113" s="78"/>
      <c r="E113" s="2" t="s">
        <v>444</v>
      </c>
      <c r="F113" s="54">
        <f>'Stavební rozpočet'!F150</f>
        <v>160</v>
      </c>
      <c r="G113" s="54">
        <f>'Stavební rozpočet'!G150</f>
        <v>0</v>
      </c>
      <c r="H113" s="54">
        <f>ROUND(F113*AO113,2)</f>
        <v>0</v>
      </c>
      <c r="I113" s="54">
        <f>ROUND(F113*AP113,2)</f>
        <v>0</v>
      </c>
      <c r="J113" s="54">
        <f>ROUND(F113*G113,2)</f>
        <v>0</v>
      </c>
      <c r="K113" s="56" t="s">
        <v>4</v>
      </c>
      <c r="Z113" s="54">
        <f>ROUND(IF(AQ113="5",BJ113,0),2)</f>
        <v>0</v>
      </c>
      <c r="AB113" s="54">
        <f>ROUND(IF(AQ113="1",BH113,0),2)</f>
        <v>0</v>
      </c>
      <c r="AC113" s="54">
        <f>ROUND(IF(AQ113="1",BI113,0),2)</f>
        <v>0</v>
      </c>
      <c r="AD113" s="54">
        <f>ROUND(IF(AQ113="7",BH113,0),2)</f>
        <v>0</v>
      </c>
      <c r="AE113" s="54">
        <f>ROUND(IF(AQ113="7",BI113,0),2)</f>
        <v>0</v>
      </c>
      <c r="AF113" s="54">
        <f>ROUND(IF(AQ113="2",BH113,0),2)</f>
        <v>0</v>
      </c>
      <c r="AG113" s="54">
        <f>ROUND(IF(AQ113="2",BI113,0),2)</f>
        <v>0</v>
      </c>
      <c r="AH113" s="54">
        <f>ROUND(IF(AQ113="0",BJ113,0),2)</f>
        <v>0</v>
      </c>
      <c r="AI113" s="34" t="s">
        <v>414</v>
      </c>
      <c r="AJ113" s="54">
        <f>IF(AN113=0,J113,0)</f>
        <v>0</v>
      </c>
      <c r="AK113" s="54">
        <f>IF(AN113=0,J113,0)</f>
        <v>0</v>
      </c>
      <c r="AL113" s="54">
        <f>IF(AN113=21,J113,0)</f>
        <v>0</v>
      </c>
      <c r="AN113" s="54">
        <v>21</v>
      </c>
      <c r="AO113" s="54">
        <f>G113*0</f>
        <v>0</v>
      </c>
      <c r="AP113" s="54">
        <f>G113*(1-0)</f>
        <v>0</v>
      </c>
      <c r="AQ113" s="57" t="s">
        <v>129</v>
      </c>
      <c r="AV113" s="54">
        <f>ROUND(AW113+AX113,2)</f>
        <v>0</v>
      </c>
      <c r="AW113" s="54">
        <f>ROUND(F113*AO113,2)</f>
        <v>0</v>
      </c>
      <c r="AX113" s="54">
        <f>ROUND(F113*AP113,2)</f>
        <v>0</v>
      </c>
      <c r="AY113" s="57" t="s">
        <v>132</v>
      </c>
      <c r="AZ113" s="57" t="s">
        <v>419</v>
      </c>
      <c r="BA113" s="34" t="s">
        <v>420</v>
      </c>
      <c r="BC113" s="54">
        <f>AW113+AX113</f>
        <v>0</v>
      </c>
      <c r="BD113" s="54">
        <f>G113/(100-BE113)*100</f>
        <v>0</v>
      </c>
      <c r="BE113" s="54">
        <v>0</v>
      </c>
      <c r="BF113" s="54">
        <f>113</f>
        <v>113</v>
      </c>
      <c r="BH113" s="54">
        <f>F113*AO113</f>
        <v>0</v>
      </c>
      <c r="BI113" s="54">
        <f>F113*AP113</f>
        <v>0</v>
      </c>
      <c r="BJ113" s="54">
        <f>F113*G113</f>
        <v>0</v>
      </c>
      <c r="BK113" s="57" t="s">
        <v>115</v>
      </c>
      <c r="BL113" s="54">
        <v>11</v>
      </c>
      <c r="BW113" s="54">
        <v>21</v>
      </c>
      <c r="BX113" s="3" t="s">
        <v>443</v>
      </c>
    </row>
    <row r="114" spans="1:76" ht="40.5" customHeight="1" x14ac:dyDescent="0.25">
      <c r="A114" s="58"/>
      <c r="B114" s="59" t="s">
        <v>53</v>
      </c>
      <c r="C114" s="163" t="s">
        <v>445</v>
      </c>
      <c r="D114" s="164"/>
      <c r="E114" s="164"/>
      <c r="F114" s="164"/>
      <c r="G114" s="164"/>
      <c r="H114" s="164"/>
      <c r="I114" s="164"/>
      <c r="J114" s="164"/>
      <c r="K114" s="166"/>
    </row>
    <row r="115" spans="1:76" x14ac:dyDescent="0.25">
      <c r="A115" s="49" t="s">
        <v>4</v>
      </c>
      <c r="B115" s="50" t="s">
        <v>140</v>
      </c>
      <c r="C115" s="161" t="s">
        <v>141</v>
      </c>
      <c r="D115" s="162"/>
      <c r="E115" s="51" t="s">
        <v>69</v>
      </c>
      <c r="F115" s="51" t="s">
        <v>69</v>
      </c>
      <c r="G115" s="51" t="s">
        <v>69</v>
      </c>
      <c r="H115" s="28">
        <f>SUM(H116:H119)</f>
        <v>0</v>
      </c>
      <c r="I115" s="28">
        <f>SUM(I116:I119)</f>
        <v>0</v>
      </c>
      <c r="J115" s="28">
        <f>SUM(J116:J119)</f>
        <v>0</v>
      </c>
      <c r="K115" s="53" t="s">
        <v>4</v>
      </c>
      <c r="AI115" s="34" t="s">
        <v>414</v>
      </c>
      <c r="AS115" s="28">
        <f>SUM(AJ116:AJ119)</f>
        <v>0</v>
      </c>
      <c r="AT115" s="28">
        <f>SUM(AK116:AK119)</f>
        <v>0</v>
      </c>
      <c r="AU115" s="28">
        <f>SUM(AL116:AL119)</f>
        <v>0</v>
      </c>
    </row>
    <row r="116" spans="1:76" ht="25.5" x14ac:dyDescent="0.25">
      <c r="A116" s="1" t="s">
        <v>354</v>
      </c>
      <c r="B116" s="2" t="s">
        <v>447</v>
      </c>
      <c r="C116" s="83" t="s">
        <v>448</v>
      </c>
      <c r="D116" s="78"/>
      <c r="E116" s="2" t="s">
        <v>177</v>
      </c>
      <c r="F116" s="54">
        <f>'Stavební rozpočet'!F153</f>
        <v>21.76</v>
      </c>
      <c r="G116" s="54">
        <f>'Stavební rozpočet'!G153</f>
        <v>0</v>
      </c>
      <c r="H116" s="54">
        <f>ROUND(F116*AO116,2)</f>
        <v>0</v>
      </c>
      <c r="I116" s="54">
        <f>ROUND(F116*AP116,2)</f>
        <v>0</v>
      </c>
      <c r="J116" s="54">
        <f>ROUND(F116*G116,2)</f>
        <v>0</v>
      </c>
      <c r="K116" s="56" t="s">
        <v>120</v>
      </c>
      <c r="Z116" s="54">
        <f>ROUND(IF(AQ116="5",BJ116,0),2)</f>
        <v>0</v>
      </c>
      <c r="AB116" s="54">
        <f>ROUND(IF(AQ116="1",BH116,0),2)</f>
        <v>0</v>
      </c>
      <c r="AC116" s="54">
        <f>ROUND(IF(AQ116="1",BI116,0),2)</f>
        <v>0</v>
      </c>
      <c r="AD116" s="54">
        <f>ROUND(IF(AQ116="7",BH116,0),2)</f>
        <v>0</v>
      </c>
      <c r="AE116" s="54">
        <f>ROUND(IF(AQ116="7",BI116,0),2)</f>
        <v>0</v>
      </c>
      <c r="AF116" s="54">
        <f>ROUND(IF(AQ116="2",BH116,0),2)</f>
        <v>0</v>
      </c>
      <c r="AG116" s="54">
        <f>ROUND(IF(AQ116="2",BI116,0),2)</f>
        <v>0</v>
      </c>
      <c r="AH116" s="54">
        <f>ROUND(IF(AQ116="0",BJ116,0),2)</f>
        <v>0</v>
      </c>
      <c r="AI116" s="34" t="s">
        <v>414</v>
      </c>
      <c r="AJ116" s="54">
        <f>IF(AN116=0,J116,0)</f>
        <v>0</v>
      </c>
      <c r="AK116" s="54">
        <f>IF(AN116=0,J116,0)</f>
        <v>0</v>
      </c>
      <c r="AL116" s="54">
        <f>IF(AN116=21,J116,0)</f>
        <v>0</v>
      </c>
      <c r="AN116" s="54">
        <v>21</v>
      </c>
      <c r="AO116" s="54">
        <f>G116*0</f>
        <v>0</v>
      </c>
      <c r="AP116" s="54">
        <f>G116*(1-0)</f>
        <v>0</v>
      </c>
      <c r="AQ116" s="57" t="s">
        <v>108</v>
      </c>
      <c r="AV116" s="54">
        <f>ROUND(AW116+AX116,2)</f>
        <v>0</v>
      </c>
      <c r="AW116" s="54">
        <f>ROUND(F116*AO116,2)</f>
        <v>0</v>
      </c>
      <c r="AX116" s="54">
        <f>ROUND(F116*AP116,2)</f>
        <v>0</v>
      </c>
      <c r="AY116" s="57" t="s">
        <v>145</v>
      </c>
      <c r="AZ116" s="57" t="s">
        <v>419</v>
      </c>
      <c r="BA116" s="34" t="s">
        <v>420</v>
      </c>
      <c r="BC116" s="54">
        <f>AW116+AX116</f>
        <v>0</v>
      </c>
      <c r="BD116" s="54">
        <f>G116/(100-BE116)*100</f>
        <v>0</v>
      </c>
      <c r="BE116" s="54">
        <v>0</v>
      </c>
      <c r="BF116" s="54">
        <f>116</f>
        <v>116</v>
      </c>
      <c r="BH116" s="54">
        <f>F116*AO116</f>
        <v>0</v>
      </c>
      <c r="BI116" s="54">
        <f>F116*AP116</f>
        <v>0</v>
      </c>
      <c r="BJ116" s="54">
        <f>F116*G116</f>
        <v>0</v>
      </c>
      <c r="BK116" s="57" t="s">
        <v>115</v>
      </c>
      <c r="BL116" s="54">
        <v>16</v>
      </c>
      <c r="BW116" s="54">
        <v>21</v>
      </c>
      <c r="BX116" s="3" t="s">
        <v>448</v>
      </c>
    </row>
    <row r="117" spans="1:76" x14ac:dyDescent="0.25">
      <c r="A117" s="1" t="s">
        <v>356</v>
      </c>
      <c r="B117" s="2" t="s">
        <v>450</v>
      </c>
      <c r="C117" s="83" t="s">
        <v>451</v>
      </c>
      <c r="D117" s="78"/>
      <c r="E117" s="2" t="s">
        <v>177</v>
      </c>
      <c r="F117" s="54">
        <f>'Stavební rozpočet'!F154</f>
        <v>26.54</v>
      </c>
      <c r="G117" s="54">
        <f>'Stavební rozpočet'!G154</f>
        <v>0</v>
      </c>
      <c r="H117" s="54">
        <f>ROUND(F117*AO117,2)</f>
        <v>0</v>
      </c>
      <c r="I117" s="54">
        <f>ROUND(F117*AP117,2)</f>
        <v>0</v>
      </c>
      <c r="J117" s="54">
        <f>ROUND(F117*G117,2)</f>
        <v>0</v>
      </c>
      <c r="K117" s="56" t="s">
        <v>120</v>
      </c>
      <c r="Z117" s="54">
        <f>ROUND(IF(AQ117="5",BJ117,0),2)</f>
        <v>0</v>
      </c>
      <c r="AB117" s="54">
        <f>ROUND(IF(AQ117="1",BH117,0),2)</f>
        <v>0</v>
      </c>
      <c r="AC117" s="54">
        <f>ROUND(IF(AQ117="1",BI117,0),2)</f>
        <v>0</v>
      </c>
      <c r="AD117" s="54">
        <f>ROUND(IF(AQ117="7",BH117,0),2)</f>
        <v>0</v>
      </c>
      <c r="AE117" s="54">
        <f>ROUND(IF(AQ117="7",BI117,0),2)</f>
        <v>0</v>
      </c>
      <c r="AF117" s="54">
        <f>ROUND(IF(AQ117="2",BH117,0),2)</f>
        <v>0</v>
      </c>
      <c r="AG117" s="54">
        <f>ROUND(IF(AQ117="2",BI117,0),2)</f>
        <v>0</v>
      </c>
      <c r="AH117" s="54">
        <f>ROUND(IF(AQ117="0",BJ117,0),2)</f>
        <v>0</v>
      </c>
      <c r="AI117" s="34" t="s">
        <v>414</v>
      </c>
      <c r="AJ117" s="54">
        <f>IF(AN117=0,J117,0)</f>
        <v>0</v>
      </c>
      <c r="AK117" s="54">
        <f>IF(AN117=0,J117,0)</f>
        <v>0</v>
      </c>
      <c r="AL117" s="54">
        <f>IF(AN117=21,J117,0)</f>
        <v>0</v>
      </c>
      <c r="AN117" s="54">
        <v>21</v>
      </c>
      <c r="AO117" s="54">
        <f>G117*0</f>
        <v>0</v>
      </c>
      <c r="AP117" s="54">
        <f>G117*(1-0)</f>
        <v>0</v>
      </c>
      <c r="AQ117" s="57" t="s">
        <v>108</v>
      </c>
      <c r="AV117" s="54">
        <f>ROUND(AW117+AX117,2)</f>
        <v>0</v>
      </c>
      <c r="AW117" s="54">
        <f>ROUND(F117*AO117,2)</f>
        <v>0</v>
      </c>
      <c r="AX117" s="54">
        <f>ROUND(F117*AP117,2)</f>
        <v>0</v>
      </c>
      <c r="AY117" s="57" t="s">
        <v>145</v>
      </c>
      <c r="AZ117" s="57" t="s">
        <v>419</v>
      </c>
      <c r="BA117" s="34" t="s">
        <v>420</v>
      </c>
      <c r="BC117" s="54">
        <f>AW117+AX117</f>
        <v>0</v>
      </c>
      <c r="BD117" s="54">
        <f>G117/(100-BE117)*100</f>
        <v>0</v>
      </c>
      <c r="BE117" s="54">
        <v>0</v>
      </c>
      <c r="BF117" s="54">
        <f>117</f>
        <v>117</v>
      </c>
      <c r="BH117" s="54">
        <f>F117*AO117</f>
        <v>0</v>
      </c>
      <c r="BI117" s="54">
        <f>F117*AP117</f>
        <v>0</v>
      </c>
      <c r="BJ117" s="54">
        <f>F117*G117</f>
        <v>0</v>
      </c>
      <c r="BK117" s="57" t="s">
        <v>115</v>
      </c>
      <c r="BL117" s="54">
        <v>16</v>
      </c>
      <c r="BW117" s="54">
        <v>21</v>
      </c>
      <c r="BX117" s="3" t="s">
        <v>451</v>
      </c>
    </row>
    <row r="118" spans="1:76" ht="25.5" x14ac:dyDescent="0.25">
      <c r="A118" s="1" t="s">
        <v>358</v>
      </c>
      <c r="B118" s="2" t="s">
        <v>453</v>
      </c>
      <c r="C118" s="83" t="s">
        <v>454</v>
      </c>
      <c r="D118" s="78"/>
      <c r="E118" s="2" t="s">
        <v>177</v>
      </c>
      <c r="F118" s="54">
        <f>'Stavební rozpočet'!F155</f>
        <v>26.55</v>
      </c>
      <c r="G118" s="54">
        <f>'Stavební rozpočet'!G155</f>
        <v>0</v>
      </c>
      <c r="H118" s="54">
        <f>ROUND(F118*AO118,2)</f>
        <v>0</v>
      </c>
      <c r="I118" s="54">
        <f>ROUND(F118*AP118,2)</f>
        <v>0</v>
      </c>
      <c r="J118" s="54">
        <f>ROUND(F118*G118,2)</f>
        <v>0</v>
      </c>
      <c r="K118" s="56" t="s">
        <v>120</v>
      </c>
      <c r="Z118" s="54">
        <f>ROUND(IF(AQ118="5",BJ118,0),2)</f>
        <v>0</v>
      </c>
      <c r="AB118" s="54">
        <f>ROUND(IF(AQ118="1",BH118,0),2)</f>
        <v>0</v>
      </c>
      <c r="AC118" s="54">
        <f>ROUND(IF(AQ118="1",BI118,0),2)</f>
        <v>0</v>
      </c>
      <c r="AD118" s="54">
        <f>ROUND(IF(AQ118="7",BH118,0),2)</f>
        <v>0</v>
      </c>
      <c r="AE118" s="54">
        <f>ROUND(IF(AQ118="7",BI118,0),2)</f>
        <v>0</v>
      </c>
      <c r="AF118" s="54">
        <f>ROUND(IF(AQ118="2",BH118,0),2)</f>
        <v>0</v>
      </c>
      <c r="AG118" s="54">
        <f>ROUND(IF(AQ118="2",BI118,0),2)</f>
        <v>0</v>
      </c>
      <c r="AH118" s="54">
        <f>ROUND(IF(AQ118="0",BJ118,0),2)</f>
        <v>0</v>
      </c>
      <c r="AI118" s="34" t="s">
        <v>414</v>
      </c>
      <c r="AJ118" s="54">
        <f>IF(AN118=0,J118,0)</f>
        <v>0</v>
      </c>
      <c r="AK118" s="54">
        <f>IF(AN118=0,J118,0)</f>
        <v>0</v>
      </c>
      <c r="AL118" s="54">
        <f>IF(AN118=21,J118,0)</f>
        <v>0</v>
      </c>
      <c r="AN118" s="54">
        <v>21</v>
      </c>
      <c r="AO118" s="54">
        <f>G118*0</f>
        <v>0</v>
      </c>
      <c r="AP118" s="54">
        <f>G118*(1-0)</f>
        <v>0</v>
      </c>
      <c r="AQ118" s="57" t="s">
        <v>108</v>
      </c>
      <c r="AV118" s="54">
        <f>ROUND(AW118+AX118,2)</f>
        <v>0</v>
      </c>
      <c r="AW118" s="54">
        <f>ROUND(F118*AO118,2)</f>
        <v>0</v>
      </c>
      <c r="AX118" s="54">
        <f>ROUND(F118*AP118,2)</f>
        <v>0</v>
      </c>
      <c r="AY118" s="57" t="s">
        <v>145</v>
      </c>
      <c r="AZ118" s="57" t="s">
        <v>419</v>
      </c>
      <c r="BA118" s="34" t="s">
        <v>420</v>
      </c>
      <c r="BC118" s="54">
        <f>AW118+AX118</f>
        <v>0</v>
      </c>
      <c r="BD118" s="54">
        <f>G118/(100-BE118)*100</f>
        <v>0</v>
      </c>
      <c r="BE118" s="54">
        <v>0</v>
      </c>
      <c r="BF118" s="54">
        <f>118</f>
        <v>118</v>
      </c>
      <c r="BH118" s="54">
        <f>F118*AO118</f>
        <v>0</v>
      </c>
      <c r="BI118" s="54">
        <f>F118*AP118</f>
        <v>0</v>
      </c>
      <c r="BJ118" s="54">
        <f>F118*G118</f>
        <v>0</v>
      </c>
      <c r="BK118" s="57" t="s">
        <v>115</v>
      </c>
      <c r="BL118" s="54">
        <v>16</v>
      </c>
      <c r="BW118" s="54">
        <v>21</v>
      </c>
      <c r="BX118" s="3" t="s">
        <v>454</v>
      </c>
    </row>
    <row r="119" spans="1:76" x14ac:dyDescent="0.25">
      <c r="A119" s="1" t="s">
        <v>360</v>
      </c>
      <c r="B119" s="2" t="s">
        <v>241</v>
      </c>
      <c r="C119" s="83" t="s">
        <v>456</v>
      </c>
      <c r="D119" s="78"/>
      <c r="E119" s="2" t="s">
        <v>177</v>
      </c>
      <c r="F119" s="54">
        <f>'Stavební rozpočet'!F156</f>
        <v>26.55</v>
      </c>
      <c r="G119" s="54">
        <f>'Stavební rozpočet'!G156</f>
        <v>0</v>
      </c>
      <c r="H119" s="54">
        <f>ROUND(F119*AO119,2)</f>
        <v>0</v>
      </c>
      <c r="I119" s="54">
        <f>ROUND(F119*AP119,2)</f>
        <v>0</v>
      </c>
      <c r="J119" s="54">
        <f>ROUND(F119*G119,2)</f>
        <v>0</v>
      </c>
      <c r="K119" s="56" t="s">
        <v>120</v>
      </c>
      <c r="Z119" s="54">
        <f>ROUND(IF(AQ119="5",BJ119,0),2)</f>
        <v>0</v>
      </c>
      <c r="AB119" s="54">
        <f>ROUND(IF(AQ119="1",BH119,0),2)</f>
        <v>0</v>
      </c>
      <c r="AC119" s="54">
        <f>ROUND(IF(AQ119="1",BI119,0),2)</f>
        <v>0</v>
      </c>
      <c r="AD119" s="54">
        <f>ROUND(IF(AQ119="7",BH119,0),2)</f>
        <v>0</v>
      </c>
      <c r="AE119" s="54">
        <f>ROUND(IF(AQ119="7",BI119,0),2)</f>
        <v>0</v>
      </c>
      <c r="AF119" s="54">
        <f>ROUND(IF(AQ119="2",BH119,0),2)</f>
        <v>0</v>
      </c>
      <c r="AG119" s="54">
        <f>ROUND(IF(AQ119="2",BI119,0),2)</f>
        <v>0</v>
      </c>
      <c r="AH119" s="54">
        <f>ROUND(IF(AQ119="0",BJ119,0),2)</f>
        <v>0</v>
      </c>
      <c r="AI119" s="34" t="s">
        <v>414</v>
      </c>
      <c r="AJ119" s="54">
        <f>IF(AN119=0,J119,0)</f>
        <v>0</v>
      </c>
      <c r="AK119" s="54">
        <f>IF(AN119=0,J119,0)</f>
        <v>0</v>
      </c>
      <c r="AL119" s="54">
        <f>IF(AN119=21,J119,0)</f>
        <v>0</v>
      </c>
      <c r="AN119" s="54">
        <v>21</v>
      </c>
      <c r="AO119" s="54">
        <f>G119*0</f>
        <v>0</v>
      </c>
      <c r="AP119" s="54">
        <f>G119*(1-0)</f>
        <v>0</v>
      </c>
      <c r="AQ119" s="57" t="s">
        <v>108</v>
      </c>
      <c r="AV119" s="54">
        <f>ROUND(AW119+AX119,2)</f>
        <v>0</v>
      </c>
      <c r="AW119" s="54">
        <f>ROUND(F119*AO119,2)</f>
        <v>0</v>
      </c>
      <c r="AX119" s="54">
        <f>ROUND(F119*AP119,2)</f>
        <v>0</v>
      </c>
      <c r="AY119" s="57" t="s">
        <v>145</v>
      </c>
      <c r="AZ119" s="57" t="s">
        <v>419</v>
      </c>
      <c r="BA119" s="34" t="s">
        <v>420</v>
      </c>
      <c r="BC119" s="54">
        <f>AW119+AX119</f>
        <v>0</v>
      </c>
      <c r="BD119" s="54">
        <f>G119/(100-BE119)*100</f>
        <v>0</v>
      </c>
      <c r="BE119" s="54">
        <v>0</v>
      </c>
      <c r="BF119" s="54">
        <f>119</f>
        <v>119</v>
      </c>
      <c r="BH119" s="54">
        <f>F119*AO119</f>
        <v>0</v>
      </c>
      <c r="BI119" s="54">
        <f>F119*AP119</f>
        <v>0</v>
      </c>
      <c r="BJ119" s="54">
        <f>F119*G119</f>
        <v>0</v>
      </c>
      <c r="BK119" s="57" t="s">
        <v>115</v>
      </c>
      <c r="BL119" s="54">
        <v>16</v>
      </c>
      <c r="BW119" s="54">
        <v>21</v>
      </c>
      <c r="BX119" s="3" t="s">
        <v>456</v>
      </c>
    </row>
    <row r="120" spans="1:76" x14ac:dyDescent="0.25">
      <c r="A120" s="49" t="s">
        <v>4</v>
      </c>
      <c r="B120" s="50" t="s">
        <v>258</v>
      </c>
      <c r="C120" s="161" t="s">
        <v>259</v>
      </c>
      <c r="D120" s="162"/>
      <c r="E120" s="51" t="s">
        <v>69</v>
      </c>
      <c r="F120" s="51" t="s">
        <v>69</v>
      </c>
      <c r="G120" s="51" t="s">
        <v>69</v>
      </c>
      <c r="H120" s="28">
        <f>SUM(H121:H121)</f>
        <v>0</v>
      </c>
      <c r="I120" s="28">
        <f>SUM(I121:I121)</f>
        <v>0</v>
      </c>
      <c r="J120" s="28">
        <f>SUM(J121:J121)</f>
        <v>0</v>
      </c>
      <c r="K120" s="53" t="s">
        <v>4</v>
      </c>
      <c r="AI120" s="34" t="s">
        <v>414</v>
      </c>
      <c r="AS120" s="28">
        <f>SUM(AJ121:AJ121)</f>
        <v>0</v>
      </c>
      <c r="AT120" s="28">
        <f>SUM(AK121:AK121)</f>
        <v>0</v>
      </c>
      <c r="AU120" s="28">
        <f>SUM(AL121:AL121)</f>
        <v>0</v>
      </c>
    </row>
    <row r="121" spans="1:76" x14ac:dyDescent="0.25">
      <c r="A121" s="1" t="s">
        <v>363</v>
      </c>
      <c r="B121" s="2" t="s">
        <v>464</v>
      </c>
      <c r="C121" s="83" t="s">
        <v>465</v>
      </c>
      <c r="D121" s="78"/>
      <c r="E121" s="2" t="s">
        <v>136</v>
      </c>
      <c r="F121" s="54">
        <f>'Stavební rozpočet'!F161</f>
        <v>46.27</v>
      </c>
      <c r="G121" s="54">
        <f>'Stavební rozpočet'!G161</f>
        <v>0</v>
      </c>
      <c r="H121" s="54">
        <f>ROUND(F121*AO121,2)</f>
        <v>0</v>
      </c>
      <c r="I121" s="54">
        <f>ROUND(F121*AP121,2)</f>
        <v>0</v>
      </c>
      <c r="J121" s="54">
        <f>ROUND(F121*G121,2)</f>
        <v>0</v>
      </c>
      <c r="K121" s="56" t="s">
        <v>120</v>
      </c>
      <c r="Z121" s="54">
        <f>ROUND(IF(AQ121="5",BJ121,0),2)</f>
        <v>0</v>
      </c>
      <c r="AB121" s="54">
        <f>ROUND(IF(AQ121="1",BH121,0),2)</f>
        <v>0</v>
      </c>
      <c r="AC121" s="54">
        <f>ROUND(IF(AQ121="1",BI121,0),2)</f>
        <v>0</v>
      </c>
      <c r="AD121" s="54">
        <f>ROUND(IF(AQ121="7",BH121,0),2)</f>
        <v>0</v>
      </c>
      <c r="AE121" s="54">
        <f>ROUND(IF(AQ121="7",BI121,0),2)</f>
        <v>0</v>
      </c>
      <c r="AF121" s="54">
        <f>ROUND(IF(AQ121="2",BH121,0),2)</f>
        <v>0</v>
      </c>
      <c r="AG121" s="54">
        <f>ROUND(IF(AQ121="2",BI121,0),2)</f>
        <v>0</v>
      </c>
      <c r="AH121" s="54">
        <f>ROUND(IF(AQ121="0",BJ121,0),2)</f>
        <v>0</v>
      </c>
      <c r="AI121" s="34" t="s">
        <v>414</v>
      </c>
      <c r="AJ121" s="54">
        <f>IF(AN121=0,J121,0)</f>
        <v>0</v>
      </c>
      <c r="AK121" s="54">
        <f>IF(AN121=0,J121,0)</f>
        <v>0</v>
      </c>
      <c r="AL121" s="54">
        <f>IF(AN121=21,J121,0)</f>
        <v>0</v>
      </c>
      <c r="AN121" s="54">
        <v>21</v>
      </c>
      <c r="AO121" s="54">
        <f>G121*0</f>
        <v>0</v>
      </c>
      <c r="AP121" s="54">
        <f>G121*(1-0)</f>
        <v>0</v>
      </c>
      <c r="AQ121" s="57" t="s">
        <v>129</v>
      </c>
      <c r="AV121" s="54">
        <f>ROUND(AW121+AX121,2)</f>
        <v>0</v>
      </c>
      <c r="AW121" s="54">
        <f>ROUND(F121*AO121,2)</f>
        <v>0</v>
      </c>
      <c r="AX121" s="54">
        <f>ROUND(F121*AP121,2)</f>
        <v>0</v>
      </c>
      <c r="AY121" s="57" t="s">
        <v>261</v>
      </c>
      <c r="AZ121" s="57" t="s">
        <v>466</v>
      </c>
      <c r="BA121" s="34" t="s">
        <v>420</v>
      </c>
      <c r="BC121" s="54">
        <f>AW121+AX121</f>
        <v>0</v>
      </c>
      <c r="BD121" s="54">
        <f>G121/(100-BE121)*100</f>
        <v>0</v>
      </c>
      <c r="BE121" s="54">
        <v>0</v>
      </c>
      <c r="BF121" s="54">
        <f>121</f>
        <v>121</v>
      </c>
      <c r="BH121" s="54">
        <f>F121*AO121</f>
        <v>0</v>
      </c>
      <c r="BI121" s="54">
        <f>F121*AP121</f>
        <v>0</v>
      </c>
      <c r="BJ121" s="54">
        <f>F121*G121</f>
        <v>0</v>
      </c>
      <c r="BK121" s="57" t="s">
        <v>115</v>
      </c>
      <c r="BL121" s="54"/>
      <c r="BW121" s="54">
        <v>21</v>
      </c>
      <c r="BX121" s="3" t="s">
        <v>465</v>
      </c>
    </row>
    <row r="122" spans="1:76" x14ac:dyDescent="0.25">
      <c r="A122" s="60" t="s">
        <v>4</v>
      </c>
      <c r="B122" s="61" t="s">
        <v>4</v>
      </c>
      <c r="C122" s="167" t="s">
        <v>478</v>
      </c>
      <c r="D122" s="168"/>
      <c r="E122" s="62" t="s">
        <v>69</v>
      </c>
      <c r="F122" s="62" t="s">
        <v>69</v>
      </c>
      <c r="G122" s="62" t="s">
        <v>69</v>
      </c>
      <c r="H122" s="63">
        <f>H123</f>
        <v>0</v>
      </c>
      <c r="I122" s="63">
        <f>I123</f>
        <v>0</v>
      </c>
      <c r="J122" s="63">
        <f>J123</f>
        <v>0</v>
      </c>
      <c r="K122" s="64" t="s">
        <v>4</v>
      </c>
    </row>
    <row r="123" spans="1:76" x14ac:dyDescent="0.25">
      <c r="A123" s="49" t="s">
        <v>4</v>
      </c>
      <c r="B123" s="50" t="s">
        <v>258</v>
      </c>
      <c r="C123" s="161" t="s">
        <v>259</v>
      </c>
      <c r="D123" s="162"/>
      <c r="E123" s="51" t="s">
        <v>69</v>
      </c>
      <c r="F123" s="51" t="s">
        <v>69</v>
      </c>
      <c r="G123" s="51" t="s">
        <v>69</v>
      </c>
      <c r="H123" s="28">
        <f>SUM(H124:H124)</f>
        <v>0</v>
      </c>
      <c r="I123" s="28">
        <f>SUM(I124:I124)</f>
        <v>0</v>
      </c>
      <c r="J123" s="28">
        <f>SUM(J124:J124)</f>
        <v>0</v>
      </c>
      <c r="K123" s="53" t="s">
        <v>4</v>
      </c>
      <c r="AI123" s="34" t="s">
        <v>149</v>
      </c>
      <c r="AS123" s="28">
        <f>SUM(AJ124:AJ124)</f>
        <v>0</v>
      </c>
      <c r="AT123" s="28">
        <f>SUM(AK124:AK124)</f>
        <v>0</v>
      </c>
      <c r="AU123" s="28">
        <f>SUM(AL124:AL124)</f>
        <v>0</v>
      </c>
    </row>
    <row r="124" spans="1:76" x14ac:dyDescent="0.25">
      <c r="A124" s="1" t="s">
        <v>366</v>
      </c>
      <c r="B124" s="2" t="s">
        <v>219</v>
      </c>
      <c r="C124" s="83" t="s">
        <v>220</v>
      </c>
      <c r="D124" s="78"/>
      <c r="E124" s="2" t="s">
        <v>136</v>
      </c>
      <c r="F124" s="54">
        <f>'Stavební rozpočet'!F170</f>
        <v>5.98</v>
      </c>
      <c r="G124" s="54">
        <f>'Stavební rozpočet'!G170</f>
        <v>0</v>
      </c>
      <c r="H124" s="54">
        <f>ROUND(F124*AO124,2)</f>
        <v>0</v>
      </c>
      <c r="I124" s="54">
        <f>ROUND(F124*AP124,2)</f>
        <v>0</v>
      </c>
      <c r="J124" s="54">
        <f>ROUND(F124*G124,2)</f>
        <v>0</v>
      </c>
      <c r="K124" s="56" t="s">
        <v>120</v>
      </c>
      <c r="Z124" s="54">
        <f>ROUND(IF(AQ124="5",BJ124,0),2)</f>
        <v>0</v>
      </c>
      <c r="AB124" s="54">
        <f>ROUND(IF(AQ124="1",BH124,0),2)</f>
        <v>0</v>
      </c>
      <c r="AC124" s="54">
        <f>ROUND(IF(AQ124="1",BI124,0),2)</f>
        <v>0</v>
      </c>
      <c r="AD124" s="54">
        <f>ROUND(IF(AQ124="7",BH124,0),2)</f>
        <v>0</v>
      </c>
      <c r="AE124" s="54">
        <f>ROUND(IF(AQ124="7",BI124,0),2)</f>
        <v>0</v>
      </c>
      <c r="AF124" s="54">
        <f>ROUND(IF(AQ124="2",BH124,0),2)</f>
        <v>0</v>
      </c>
      <c r="AG124" s="54">
        <f>ROUND(IF(AQ124="2",BI124,0),2)</f>
        <v>0</v>
      </c>
      <c r="AH124" s="54">
        <f>ROUND(IF(AQ124="0",BJ124,0),2)</f>
        <v>0</v>
      </c>
      <c r="AI124" s="34" t="s">
        <v>149</v>
      </c>
      <c r="AJ124" s="54">
        <f>IF(AN124=0,J124,0)</f>
        <v>0</v>
      </c>
      <c r="AK124" s="54">
        <f>IF(AN124=0,J124,0)</f>
        <v>0</v>
      </c>
      <c r="AL124" s="54">
        <f>IF(AN124=21,J124,0)</f>
        <v>0</v>
      </c>
      <c r="AN124" s="54">
        <v>21</v>
      </c>
      <c r="AO124" s="54">
        <f>G124*0</f>
        <v>0</v>
      </c>
      <c r="AP124" s="54">
        <f>G124*(1-0)</f>
        <v>0</v>
      </c>
      <c r="AQ124" s="57" t="s">
        <v>129</v>
      </c>
      <c r="AV124" s="54">
        <f>ROUND(AW124+AX124,2)</f>
        <v>0</v>
      </c>
      <c r="AW124" s="54">
        <f>ROUND(F124*AO124,2)</f>
        <v>0</v>
      </c>
      <c r="AX124" s="54">
        <f>ROUND(F124*AP124,2)</f>
        <v>0</v>
      </c>
      <c r="AY124" s="57" t="s">
        <v>261</v>
      </c>
      <c r="AZ124" s="57" t="s">
        <v>480</v>
      </c>
      <c r="BA124" s="34" t="s">
        <v>481</v>
      </c>
      <c r="BC124" s="54">
        <f>AW124+AX124</f>
        <v>0</v>
      </c>
      <c r="BD124" s="54">
        <f>G124/(100-BE124)*100</f>
        <v>0</v>
      </c>
      <c r="BE124" s="54">
        <v>0</v>
      </c>
      <c r="BF124" s="54">
        <f>124</f>
        <v>124</v>
      </c>
      <c r="BH124" s="54">
        <f>F124*AO124</f>
        <v>0</v>
      </c>
      <c r="BI124" s="54">
        <f>F124*AP124</f>
        <v>0</v>
      </c>
      <c r="BJ124" s="54">
        <f>F124*G124</f>
        <v>0</v>
      </c>
      <c r="BK124" s="57" t="s">
        <v>115</v>
      </c>
      <c r="BL124" s="54"/>
      <c r="BW124" s="54">
        <v>21</v>
      </c>
      <c r="BX124" s="3" t="s">
        <v>220</v>
      </c>
    </row>
    <row r="125" spans="1:76" x14ac:dyDescent="0.25">
      <c r="A125" s="60" t="s">
        <v>4</v>
      </c>
      <c r="B125" s="61" t="s">
        <v>4</v>
      </c>
      <c r="C125" s="167" t="s">
        <v>495</v>
      </c>
      <c r="D125" s="168"/>
      <c r="E125" s="62" t="s">
        <v>69</v>
      </c>
      <c r="F125" s="62" t="s">
        <v>69</v>
      </c>
      <c r="G125" s="62" t="s">
        <v>69</v>
      </c>
      <c r="H125" s="63">
        <f>H126+H132+H135+H140+H142+H145</f>
        <v>0</v>
      </c>
      <c r="I125" s="63">
        <f>I126+I132+I135+I140+I142+I145</f>
        <v>0</v>
      </c>
      <c r="J125" s="63">
        <f>J126+J132+J135+J140+J142+J145</f>
        <v>0</v>
      </c>
      <c r="K125" s="64" t="s">
        <v>4</v>
      </c>
    </row>
    <row r="126" spans="1:76" x14ac:dyDescent="0.25">
      <c r="A126" s="49" t="s">
        <v>4</v>
      </c>
      <c r="B126" s="50" t="s">
        <v>157</v>
      </c>
      <c r="C126" s="161" t="s">
        <v>496</v>
      </c>
      <c r="D126" s="162"/>
      <c r="E126" s="51" t="s">
        <v>69</v>
      </c>
      <c r="F126" s="51" t="s">
        <v>69</v>
      </c>
      <c r="G126" s="51" t="s">
        <v>69</v>
      </c>
      <c r="H126" s="28">
        <f>SUM(H127:H131)</f>
        <v>0</v>
      </c>
      <c r="I126" s="28">
        <f>SUM(I127:I131)</f>
        <v>0</v>
      </c>
      <c r="J126" s="28">
        <f>SUM(J127:J131)</f>
        <v>0</v>
      </c>
      <c r="K126" s="53" t="s">
        <v>4</v>
      </c>
      <c r="AI126" s="34" t="s">
        <v>127</v>
      </c>
      <c r="AS126" s="28">
        <f>SUM(AJ127:AJ131)</f>
        <v>0</v>
      </c>
      <c r="AT126" s="28">
        <f>SUM(AK127:AK131)</f>
        <v>0</v>
      </c>
      <c r="AU126" s="28">
        <f>SUM(AL127:AL131)</f>
        <v>0</v>
      </c>
    </row>
    <row r="127" spans="1:76" x14ac:dyDescent="0.25">
      <c r="A127" s="1" t="s">
        <v>370</v>
      </c>
      <c r="B127" s="2" t="s">
        <v>498</v>
      </c>
      <c r="C127" s="83" t="s">
        <v>499</v>
      </c>
      <c r="D127" s="78"/>
      <c r="E127" s="2" t="s">
        <v>177</v>
      </c>
      <c r="F127" s="54">
        <f>'Stavební rozpočet'!F180</f>
        <v>104</v>
      </c>
      <c r="G127" s="54">
        <f>'Stavební rozpočet'!G180</f>
        <v>0</v>
      </c>
      <c r="H127" s="54">
        <f>ROUND(F127*AO127,2)</f>
        <v>0</v>
      </c>
      <c r="I127" s="54">
        <f>ROUND(F127*AP127,2)</f>
        <v>0</v>
      </c>
      <c r="J127" s="54">
        <f>ROUND(F127*G127,2)</f>
        <v>0</v>
      </c>
      <c r="K127" s="56" t="s">
        <v>120</v>
      </c>
      <c r="Z127" s="54">
        <f>ROUND(IF(AQ127="5",BJ127,0),2)</f>
        <v>0</v>
      </c>
      <c r="AB127" s="54">
        <f>ROUND(IF(AQ127="1",BH127,0),2)</f>
        <v>0</v>
      </c>
      <c r="AC127" s="54">
        <f>ROUND(IF(AQ127="1",BI127,0),2)</f>
        <v>0</v>
      </c>
      <c r="AD127" s="54">
        <f>ROUND(IF(AQ127="7",BH127,0),2)</f>
        <v>0</v>
      </c>
      <c r="AE127" s="54">
        <f>ROUND(IF(AQ127="7",BI127,0),2)</f>
        <v>0</v>
      </c>
      <c r="AF127" s="54">
        <f>ROUND(IF(AQ127="2",BH127,0),2)</f>
        <v>0</v>
      </c>
      <c r="AG127" s="54">
        <f>ROUND(IF(AQ127="2",BI127,0),2)</f>
        <v>0</v>
      </c>
      <c r="AH127" s="54">
        <f>ROUND(IF(AQ127="0",BJ127,0),2)</f>
        <v>0</v>
      </c>
      <c r="AI127" s="34" t="s">
        <v>127</v>
      </c>
      <c r="AJ127" s="54">
        <f>IF(AN127=0,J127,0)</f>
        <v>0</v>
      </c>
      <c r="AK127" s="54">
        <f>IF(AN127=0,J127,0)</f>
        <v>0</v>
      </c>
      <c r="AL127" s="54">
        <f>IF(AN127=21,J127,0)</f>
        <v>0</v>
      </c>
      <c r="AN127" s="54">
        <v>21</v>
      </c>
      <c r="AO127" s="54">
        <f>G127*0</f>
        <v>0</v>
      </c>
      <c r="AP127" s="54">
        <f>G127*(1-0)</f>
        <v>0</v>
      </c>
      <c r="AQ127" s="57" t="s">
        <v>108</v>
      </c>
      <c r="AV127" s="54">
        <f>ROUND(AW127+AX127,2)</f>
        <v>0</v>
      </c>
      <c r="AW127" s="54">
        <f>ROUND(F127*AO127,2)</f>
        <v>0</v>
      </c>
      <c r="AX127" s="54">
        <f>ROUND(F127*AP127,2)</f>
        <v>0</v>
      </c>
      <c r="AY127" s="57" t="s">
        <v>500</v>
      </c>
      <c r="AZ127" s="57" t="s">
        <v>501</v>
      </c>
      <c r="BA127" s="34" t="s">
        <v>132</v>
      </c>
      <c r="BC127" s="54">
        <f>AW127+AX127</f>
        <v>0</v>
      </c>
      <c r="BD127" s="54">
        <f>G127/(100-BE127)*100</f>
        <v>0</v>
      </c>
      <c r="BE127" s="54">
        <v>0</v>
      </c>
      <c r="BF127" s="54">
        <f>127</f>
        <v>127</v>
      </c>
      <c r="BH127" s="54">
        <f>F127*AO127</f>
        <v>0</v>
      </c>
      <c r="BI127" s="54">
        <f>F127*AP127</f>
        <v>0</v>
      </c>
      <c r="BJ127" s="54">
        <f>F127*G127</f>
        <v>0</v>
      </c>
      <c r="BK127" s="57" t="s">
        <v>115</v>
      </c>
      <c r="BL127" s="54">
        <v>12</v>
      </c>
      <c r="BW127" s="54">
        <v>21</v>
      </c>
      <c r="BX127" s="3" t="s">
        <v>499</v>
      </c>
    </row>
    <row r="128" spans="1:76" x14ac:dyDescent="0.25">
      <c r="A128" s="1" t="s">
        <v>371</v>
      </c>
      <c r="B128" s="2" t="s">
        <v>503</v>
      </c>
      <c r="C128" s="83" t="s">
        <v>504</v>
      </c>
      <c r="D128" s="78"/>
      <c r="E128" s="2" t="s">
        <v>177</v>
      </c>
      <c r="F128" s="54">
        <f>'Stavební rozpočet'!F181</f>
        <v>122.34</v>
      </c>
      <c r="G128" s="54">
        <f>'Stavební rozpočet'!G181</f>
        <v>0</v>
      </c>
      <c r="H128" s="54">
        <f>ROUND(F128*AO128,2)</f>
        <v>0</v>
      </c>
      <c r="I128" s="54">
        <f>ROUND(F128*AP128,2)</f>
        <v>0</v>
      </c>
      <c r="J128" s="54">
        <f>ROUND(F128*G128,2)</f>
        <v>0</v>
      </c>
      <c r="K128" s="56" t="s">
        <v>120</v>
      </c>
      <c r="Z128" s="54">
        <f>ROUND(IF(AQ128="5",BJ128,0),2)</f>
        <v>0</v>
      </c>
      <c r="AB128" s="54">
        <f>ROUND(IF(AQ128="1",BH128,0),2)</f>
        <v>0</v>
      </c>
      <c r="AC128" s="54">
        <f>ROUND(IF(AQ128="1",BI128,0),2)</f>
        <v>0</v>
      </c>
      <c r="AD128" s="54">
        <f>ROUND(IF(AQ128="7",BH128,0),2)</f>
        <v>0</v>
      </c>
      <c r="AE128" s="54">
        <f>ROUND(IF(AQ128="7",BI128,0),2)</f>
        <v>0</v>
      </c>
      <c r="AF128" s="54">
        <f>ROUND(IF(AQ128="2",BH128,0),2)</f>
        <v>0</v>
      </c>
      <c r="AG128" s="54">
        <f>ROUND(IF(AQ128="2",BI128,0),2)</f>
        <v>0</v>
      </c>
      <c r="AH128" s="54">
        <f>ROUND(IF(AQ128="0",BJ128,0),2)</f>
        <v>0</v>
      </c>
      <c r="AI128" s="34" t="s">
        <v>127</v>
      </c>
      <c r="AJ128" s="54">
        <f>IF(AN128=0,J128,0)</f>
        <v>0</v>
      </c>
      <c r="AK128" s="54">
        <f>IF(AN128=0,J128,0)</f>
        <v>0</v>
      </c>
      <c r="AL128" s="54">
        <f>IF(AN128=21,J128,0)</f>
        <v>0</v>
      </c>
      <c r="AN128" s="54">
        <v>21</v>
      </c>
      <c r="AO128" s="54">
        <f>G128*0</f>
        <v>0</v>
      </c>
      <c r="AP128" s="54">
        <f>G128*(1-0)</f>
        <v>0</v>
      </c>
      <c r="AQ128" s="57" t="s">
        <v>108</v>
      </c>
      <c r="AV128" s="54">
        <f>ROUND(AW128+AX128,2)</f>
        <v>0</v>
      </c>
      <c r="AW128" s="54">
        <f>ROUND(F128*AO128,2)</f>
        <v>0</v>
      </c>
      <c r="AX128" s="54">
        <f>ROUND(F128*AP128,2)</f>
        <v>0</v>
      </c>
      <c r="AY128" s="57" t="s">
        <v>500</v>
      </c>
      <c r="AZ128" s="57" t="s">
        <v>501</v>
      </c>
      <c r="BA128" s="34" t="s">
        <v>132</v>
      </c>
      <c r="BC128" s="54">
        <f>AW128+AX128</f>
        <v>0</v>
      </c>
      <c r="BD128" s="54">
        <f>G128/(100-BE128)*100</f>
        <v>0</v>
      </c>
      <c r="BE128" s="54">
        <v>0</v>
      </c>
      <c r="BF128" s="54">
        <f>128</f>
        <v>128</v>
      </c>
      <c r="BH128" s="54">
        <f>F128*AO128</f>
        <v>0</v>
      </c>
      <c r="BI128" s="54">
        <f>F128*AP128</f>
        <v>0</v>
      </c>
      <c r="BJ128" s="54">
        <f>F128*G128</f>
        <v>0</v>
      </c>
      <c r="BK128" s="57" t="s">
        <v>115</v>
      </c>
      <c r="BL128" s="54">
        <v>12</v>
      </c>
      <c r="BW128" s="54">
        <v>21</v>
      </c>
      <c r="BX128" s="3" t="s">
        <v>504</v>
      </c>
    </row>
    <row r="129" spans="1:76" x14ac:dyDescent="0.25">
      <c r="A129" s="1" t="s">
        <v>373</v>
      </c>
      <c r="B129" s="2" t="s">
        <v>506</v>
      </c>
      <c r="C129" s="83" t="s">
        <v>507</v>
      </c>
      <c r="D129" s="78"/>
      <c r="E129" s="2" t="s">
        <v>177</v>
      </c>
      <c r="F129" s="54">
        <f>'Stavební rozpočet'!F182</f>
        <v>126.88</v>
      </c>
      <c r="G129" s="54">
        <f>'Stavební rozpočet'!G182</f>
        <v>0</v>
      </c>
      <c r="H129" s="54">
        <f>ROUND(F129*AO129,2)</f>
        <v>0</v>
      </c>
      <c r="I129" s="54">
        <f>ROUND(F129*AP129,2)</f>
        <v>0</v>
      </c>
      <c r="J129" s="54">
        <f>ROUND(F129*G129,2)</f>
        <v>0</v>
      </c>
      <c r="K129" s="56" t="s">
        <v>120</v>
      </c>
      <c r="Z129" s="54">
        <f>ROUND(IF(AQ129="5",BJ129,0),2)</f>
        <v>0</v>
      </c>
      <c r="AB129" s="54">
        <f>ROUND(IF(AQ129="1",BH129,0),2)</f>
        <v>0</v>
      </c>
      <c r="AC129" s="54">
        <f>ROUND(IF(AQ129="1",BI129,0),2)</f>
        <v>0</v>
      </c>
      <c r="AD129" s="54">
        <f>ROUND(IF(AQ129="7",BH129,0),2)</f>
        <v>0</v>
      </c>
      <c r="AE129" s="54">
        <f>ROUND(IF(AQ129="7",BI129,0),2)</f>
        <v>0</v>
      </c>
      <c r="AF129" s="54">
        <f>ROUND(IF(AQ129="2",BH129,0),2)</f>
        <v>0</v>
      </c>
      <c r="AG129" s="54">
        <f>ROUND(IF(AQ129="2",BI129,0),2)</f>
        <v>0</v>
      </c>
      <c r="AH129" s="54">
        <f>ROUND(IF(AQ129="0",BJ129,0),2)</f>
        <v>0</v>
      </c>
      <c r="AI129" s="34" t="s">
        <v>127</v>
      </c>
      <c r="AJ129" s="54">
        <f>IF(AN129=0,J129,0)</f>
        <v>0</v>
      </c>
      <c r="AK129" s="54">
        <f>IF(AN129=0,J129,0)</f>
        <v>0</v>
      </c>
      <c r="AL129" s="54">
        <f>IF(AN129=21,J129,0)</f>
        <v>0</v>
      </c>
      <c r="AN129" s="54">
        <v>21</v>
      </c>
      <c r="AO129" s="54">
        <f>G129*0</f>
        <v>0</v>
      </c>
      <c r="AP129" s="54">
        <f>G129*(1-0)</f>
        <v>0</v>
      </c>
      <c r="AQ129" s="57" t="s">
        <v>108</v>
      </c>
      <c r="AV129" s="54">
        <f>ROUND(AW129+AX129,2)</f>
        <v>0</v>
      </c>
      <c r="AW129" s="54">
        <f>ROUND(F129*AO129,2)</f>
        <v>0</v>
      </c>
      <c r="AX129" s="54">
        <f>ROUND(F129*AP129,2)</f>
        <v>0</v>
      </c>
      <c r="AY129" s="57" t="s">
        <v>500</v>
      </c>
      <c r="AZ129" s="57" t="s">
        <v>501</v>
      </c>
      <c r="BA129" s="34" t="s">
        <v>132</v>
      </c>
      <c r="BC129" s="54">
        <f>AW129+AX129</f>
        <v>0</v>
      </c>
      <c r="BD129" s="54">
        <f>G129/(100-BE129)*100</f>
        <v>0</v>
      </c>
      <c r="BE129" s="54">
        <v>0</v>
      </c>
      <c r="BF129" s="54">
        <f>129</f>
        <v>129</v>
      </c>
      <c r="BH129" s="54">
        <f>F129*AO129</f>
        <v>0</v>
      </c>
      <c r="BI129" s="54">
        <f>F129*AP129</f>
        <v>0</v>
      </c>
      <c r="BJ129" s="54">
        <f>F129*G129</f>
        <v>0</v>
      </c>
      <c r="BK129" s="57" t="s">
        <v>115</v>
      </c>
      <c r="BL129" s="54">
        <v>12</v>
      </c>
      <c r="BW129" s="54">
        <v>21</v>
      </c>
      <c r="BX129" s="3" t="s">
        <v>507</v>
      </c>
    </row>
    <row r="130" spans="1:76" x14ac:dyDescent="0.25">
      <c r="A130" s="1" t="s">
        <v>376</v>
      </c>
      <c r="B130" s="2" t="s">
        <v>241</v>
      </c>
      <c r="C130" s="83" t="s">
        <v>242</v>
      </c>
      <c r="D130" s="78"/>
      <c r="E130" s="2" t="s">
        <v>177</v>
      </c>
      <c r="F130" s="54">
        <f>'Stavební rozpočet'!F183</f>
        <v>126.88</v>
      </c>
      <c r="G130" s="54">
        <f>'Stavební rozpočet'!G183</f>
        <v>0</v>
      </c>
      <c r="H130" s="54">
        <f>ROUND(F130*AO130,2)</f>
        <v>0</v>
      </c>
      <c r="I130" s="54">
        <f>ROUND(F130*AP130,2)</f>
        <v>0</v>
      </c>
      <c r="J130" s="54">
        <f>ROUND(F130*G130,2)</f>
        <v>0</v>
      </c>
      <c r="K130" s="56" t="s">
        <v>120</v>
      </c>
      <c r="Z130" s="54">
        <f>ROUND(IF(AQ130="5",BJ130,0),2)</f>
        <v>0</v>
      </c>
      <c r="AB130" s="54">
        <f>ROUND(IF(AQ130="1",BH130,0),2)</f>
        <v>0</v>
      </c>
      <c r="AC130" s="54">
        <f>ROUND(IF(AQ130="1",BI130,0),2)</f>
        <v>0</v>
      </c>
      <c r="AD130" s="54">
        <f>ROUND(IF(AQ130="7",BH130,0),2)</f>
        <v>0</v>
      </c>
      <c r="AE130" s="54">
        <f>ROUND(IF(AQ130="7",BI130,0),2)</f>
        <v>0</v>
      </c>
      <c r="AF130" s="54">
        <f>ROUND(IF(AQ130="2",BH130,0),2)</f>
        <v>0</v>
      </c>
      <c r="AG130" s="54">
        <f>ROUND(IF(AQ130="2",BI130,0),2)</f>
        <v>0</v>
      </c>
      <c r="AH130" s="54">
        <f>ROUND(IF(AQ130="0",BJ130,0),2)</f>
        <v>0</v>
      </c>
      <c r="AI130" s="34" t="s">
        <v>127</v>
      </c>
      <c r="AJ130" s="54">
        <f>IF(AN130=0,J130,0)</f>
        <v>0</v>
      </c>
      <c r="AK130" s="54">
        <f>IF(AN130=0,J130,0)</f>
        <v>0</v>
      </c>
      <c r="AL130" s="54">
        <f>IF(AN130=21,J130,0)</f>
        <v>0</v>
      </c>
      <c r="AN130" s="54">
        <v>21</v>
      </c>
      <c r="AO130" s="54">
        <f>G130*0</f>
        <v>0</v>
      </c>
      <c r="AP130" s="54">
        <f>G130*(1-0)</f>
        <v>0</v>
      </c>
      <c r="AQ130" s="57" t="s">
        <v>108</v>
      </c>
      <c r="AV130" s="54">
        <f>ROUND(AW130+AX130,2)</f>
        <v>0</v>
      </c>
      <c r="AW130" s="54">
        <f>ROUND(F130*AO130,2)</f>
        <v>0</v>
      </c>
      <c r="AX130" s="54">
        <f>ROUND(F130*AP130,2)</f>
        <v>0</v>
      </c>
      <c r="AY130" s="57" t="s">
        <v>500</v>
      </c>
      <c r="AZ130" s="57" t="s">
        <v>501</v>
      </c>
      <c r="BA130" s="34" t="s">
        <v>132</v>
      </c>
      <c r="BC130" s="54">
        <f>AW130+AX130</f>
        <v>0</v>
      </c>
      <c r="BD130" s="54">
        <f>G130/(100-BE130)*100</f>
        <v>0</v>
      </c>
      <c r="BE130" s="54">
        <v>0</v>
      </c>
      <c r="BF130" s="54">
        <f>130</f>
        <v>130</v>
      </c>
      <c r="BH130" s="54">
        <f>F130*AO130</f>
        <v>0</v>
      </c>
      <c r="BI130" s="54">
        <f>F130*AP130</f>
        <v>0</v>
      </c>
      <c r="BJ130" s="54">
        <f>F130*G130</f>
        <v>0</v>
      </c>
      <c r="BK130" s="57" t="s">
        <v>115</v>
      </c>
      <c r="BL130" s="54">
        <v>12</v>
      </c>
      <c r="BW130" s="54">
        <v>21</v>
      </c>
      <c r="BX130" s="3" t="s">
        <v>242</v>
      </c>
    </row>
    <row r="131" spans="1:76" x14ac:dyDescent="0.25">
      <c r="A131" s="1" t="s">
        <v>380</v>
      </c>
      <c r="B131" s="2" t="s">
        <v>425</v>
      </c>
      <c r="C131" s="83" t="s">
        <v>426</v>
      </c>
      <c r="D131" s="78"/>
      <c r="E131" s="2" t="s">
        <v>119</v>
      </c>
      <c r="F131" s="54">
        <f>'Stavební rozpočet'!F184</f>
        <v>226</v>
      </c>
      <c r="G131" s="54">
        <f>'Stavební rozpočet'!G184</f>
        <v>0</v>
      </c>
      <c r="H131" s="54">
        <f>ROUND(F131*AO131,2)</f>
        <v>0</v>
      </c>
      <c r="I131" s="54">
        <f>ROUND(F131*AP131,2)</f>
        <v>0</v>
      </c>
      <c r="J131" s="54">
        <f>ROUND(F131*G131,2)</f>
        <v>0</v>
      </c>
      <c r="K131" s="56" t="s">
        <v>120</v>
      </c>
      <c r="Z131" s="54">
        <f>ROUND(IF(AQ131="5",BJ131,0),2)</f>
        <v>0</v>
      </c>
      <c r="AB131" s="54">
        <f>ROUND(IF(AQ131="1",BH131,0),2)</f>
        <v>0</v>
      </c>
      <c r="AC131" s="54">
        <f>ROUND(IF(AQ131="1",BI131,0),2)</f>
        <v>0</v>
      </c>
      <c r="AD131" s="54">
        <f>ROUND(IF(AQ131="7",BH131,0),2)</f>
        <v>0</v>
      </c>
      <c r="AE131" s="54">
        <f>ROUND(IF(AQ131="7",BI131,0),2)</f>
        <v>0</v>
      </c>
      <c r="AF131" s="54">
        <f>ROUND(IF(AQ131="2",BH131,0),2)</f>
        <v>0</v>
      </c>
      <c r="AG131" s="54">
        <f>ROUND(IF(AQ131="2",BI131,0),2)</f>
        <v>0</v>
      </c>
      <c r="AH131" s="54">
        <f>ROUND(IF(AQ131="0",BJ131,0),2)</f>
        <v>0</v>
      </c>
      <c r="AI131" s="34" t="s">
        <v>127</v>
      </c>
      <c r="AJ131" s="54">
        <f>IF(AN131=0,J131,0)</f>
        <v>0</v>
      </c>
      <c r="AK131" s="54">
        <f>IF(AN131=0,J131,0)</f>
        <v>0</v>
      </c>
      <c r="AL131" s="54">
        <f>IF(AN131=21,J131,0)</f>
        <v>0</v>
      </c>
      <c r="AN131" s="54">
        <v>21</v>
      </c>
      <c r="AO131" s="54">
        <f>G131*0</f>
        <v>0</v>
      </c>
      <c r="AP131" s="54">
        <f>G131*(1-0)</f>
        <v>0</v>
      </c>
      <c r="AQ131" s="57" t="s">
        <v>108</v>
      </c>
      <c r="AV131" s="54">
        <f>ROUND(AW131+AX131,2)</f>
        <v>0</v>
      </c>
      <c r="AW131" s="54">
        <f>ROUND(F131*AO131,2)</f>
        <v>0</v>
      </c>
      <c r="AX131" s="54">
        <f>ROUND(F131*AP131,2)</f>
        <v>0</v>
      </c>
      <c r="AY131" s="57" t="s">
        <v>500</v>
      </c>
      <c r="AZ131" s="57" t="s">
        <v>501</v>
      </c>
      <c r="BA131" s="34" t="s">
        <v>132</v>
      </c>
      <c r="BC131" s="54">
        <f>AW131+AX131</f>
        <v>0</v>
      </c>
      <c r="BD131" s="54">
        <f>G131/(100-BE131)*100</f>
        <v>0</v>
      </c>
      <c r="BE131" s="54">
        <v>0</v>
      </c>
      <c r="BF131" s="54">
        <f>131</f>
        <v>131</v>
      </c>
      <c r="BH131" s="54">
        <f>F131*AO131</f>
        <v>0</v>
      </c>
      <c r="BI131" s="54">
        <f>F131*AP131</f>
        <v>0</v>
      </c>
      <c r="BJ131" s="54">
        <f>F131*G131</f>
        <v>0</v>
      </c>
      <c r="BK131" s="57" t="s">
        <v>115</v>
      </c>
      <c r="BL131" s="54">
        <v>12</v>
      </c>
      <c r="BW131" s="54">
        <v>21</v>
      </c>
      <c r="BX131" s="3" t="s">
        <v>426</v>
      </c>
    </row>
    <row r="132" spans="1:76" x14ac:dyDescent="0.25">
      <c r="A132" s="49" t="s">
        <v>4</v>
      </c>
      <c r="B132" s="50" t="s">
        <v>180</v>
      </c>
      <c r="C132" s="161" t="s">
        <v>457</v>
      </c>
      <c r="D132" s="162"/>
      <c r="E132" s="51" t="s">
        <v>69</v>
      </c>
      <c r="F132" s="51" t="s">
        <v>69</v>
      </c>
      <c r="G132" s="51" t="s">
        <v>69</v>
      </c>
      <c r="H132" s="28">
        <f>SUM(H133:H133)</f>
        <v>0</v>
      </c>
      <c r="I132" s="28">
        <f>SUM(I133:I133)</f>
        <v>0</v>
      </c>
      <c r="J132" s="28">
        <f>SUM(J133:J133)</f>
        <v>0</v>
      </c>
      <c r="K132" s="53" t="s">
        <v>4</v>
      </c>
      <c r="AI132" s="34" t="s">
        <v>127</v>
      </c>
      <c r="AS132" s="28">
        <f>SUM(AJ133:AJ133)</f>
        <v>0</v>
      </c>
      <c r="AT132" s="28">
        <f>SUM(AK133:AK133)</f>
        <v>0</v>
      </c>
      <c r="AU132" s="28">
        <f>SUM(AL133:AL133)</f>
        <v>0</v>
      </c>
    </row>
    <row r="133" spans="1:76" x14ac:dyDescent="0.25">
      <c r="A133" s="1" t="s">
        <v>381</v>
      </c>
      <c r="B133" s="2" t="s">
        <v>428</v>
      </c>
      <c r="C133" s="83" t="s">
        <v>429</v>
      </c>
      <c r="D133" s="78"/>
      <c r="E133" s="2" t="s">
        <v>177</v>
      </c>
      <c r="F133" s="54">
        <f>'Stavební rozpočet'!F186</f>
        <v>71.19</v>
      </c>
      <c r="G133" s="54">
        <f>'Stavební rozpočet'!G186</f>
        <v>0</v>
      </c>
      <c r="H133" s="54">
        <f>ROUND(F133*AO133,2)</f>
        <v>0</v>
      </c>
      <c r="I133" s="54">
        <f>ROUND(F133*AP133,2)</f>
        <v>0</v>
      </c>
      <c r="J133" s="54">
        <f>ROUND(F133*G133,2)</f>
        <v>0</v>
      </c>
      <c r="K133" s="56" t="s">
        <v>120</v>
      </c>
      <c r="Z133" s="54">
        <f>ROUND(IF(AQ133="5",BJ133,0),2)</f>
        <v>0</v>
      </c>
      <c r="AB133" s="54">
        <f>ROUND(IF(AQ133="1",BH133,0),2)</f>
        <v>0</v>
      </c>
      <c r="AC133" s="54">
        <f>ROUND(IF(AQ133="1",BI133,0),2)</f>
        <v>0</v>
      </c>
      <c r="AD133" s="54">
        <f>ROUND(IF(AQ133="7",BH133,0),2)</f>
        <v>0</v>
      </c>
      <c r="AE133" s="54">
        <f>ROUND(IF(AQ133="7",BI133,0),2)</f>
        <v>0</v>
      </c>
      <c r="AF133" s="54">
        <f>ROUND(IF(AQ133="2",BH133,0),2)</f>
        <v>0</v>
      </c>
      <c r="AG133" s="54">
        <f>ROUND(IF(AQ133="2",BI133,0),2)</f>
        <v>0</v>
      </c>
      <c r="AH133" s="54">
        <f>ROUND(IF(AQ133="0",BJ133,0),2)</f>
        <v>0</v>
      </c>
      <c r="AI133" s="34" t="s">
        <v>127</v>
      </c>
      <c r="AJ133" s="54">
        <f>IF(AN133=0,J133,0)</f>
        <v>0</v>
      </c>
      <c r="AK133" s="54">
        <f>IF(AN133=0,J133,0)</f>
        <v>0</v>
      </c>
      <c r="AL133" s="54">
        <f>IF(AN133=21,J133,0)</f>
        <v>0</v>
      </c>
      <c r="AN133" s="54">
        <v>21</v>
      </c>
      <c r="AO133" s="54">
        <f>G133*0</f>
        <v>0</v>
      </c>
      <c r="AP133" s="54">
        <f>G133*(1-0)</f>
        <v>0</v>
      </c>
      <c r="AQ133" s="57" t="s">
        <v>108</v>
      </c>
      <c r="AV133" s="54">
        <f>ROUND(AW133+AX133,2)</f>
        <v>0</v>
      </c>
      <c r="AW133" s="54">
        <f>ROUND(F133*AO133,2)</f>
        <v>0</v>
      </c>
      <c r="AX133" s="54">
        <f>ROUND(F133*AP133,2)</f>
        <v>0</v>
      </c>
      <c r="AY133" s="57" t="s">
        <v>461</v>
      </c>
      <c r="AZ133" s="57" t="s">
        <v>501</v>
      </c>
      <c r="BA133" s="34" t="s">
        <v>132</v>
      </c>
      <c r="BC133" s="54">
        <f>AW133+AX133</f>
        <v>0</v>
      </c>
      <c r="BD133" s="54">
        <f>G133/(100-BE133)*100</f>
        <v>0</v>
      </c>
      <c r="BE133" s="54">
        <v>0</v>
      </c>
      <c r="BF133" s="54">
        <f>133</f>
        <v>133</v>
      </c>
      <c r="BH133" s="54">
        <f>F133*AO133</f>
        <v>0</v>
      </c>
      <c r="BI133" s="54">
        <f>F133*AP133</f>
        <v>0</v>
      </c>
      <c r="BJ133" s="54">
        <f>F133*G133</f>
        <v>0</v>
      </c>
      <c r="BK133" s="57" t="s">
        <v>115</v>
      </c>
      <c r="BL133" s="54">
        <v>17</v>
      </c>
      <c r="BW133" s="54">
        <v>21</v>
      </c>
      <c r="BX133" s="3" t="s">
        <v>429</v>
      </c>
    </row>
    <row r="134" spans="1:76" ht="27" customHeight="1" x14ac:dyDescent="0.25">
      <c r="A134" s="58"/>
      <c r="B134" s="59" t="s">
        <v>53</v>
      </c>
      <c r="C134" s="163" t="s">
        <v>511</v>
      </c>
      <c r="D134" s="164"/>
      <c r="E134" s="164"/>
      <c r="F134" s="164"/>
      <c r="G134" s="164"/>
      <c r="H134" s="164"/>
      <c r="I134" s="164"/>
      <c r="J134" s="164"/>
      <c r="K134" s="166"/>
    </row>
    <row r="135" spans="1:76" x14ac:dyDescent="0.25">
      <c r="A135" s="49" t="s">
        <v>4</v>
      </c>
      <c r="B135" s="50" t="s">
        <v>311</v>
      </c>
      <c r="C135" s="161" t="s">
        <v>512</v>
      </c>
      <c r="D135" s="162"/>
      <c r="E135" s="51" t="s">
        <v>69</v>
      </c>
      <c r="F135" s="51" t="s">
        <v>69</v>
      </c>
      <c r="G135" s="51" t="s">
        <v>69</v>
      </c>
      <c r="H135" s="28">
        <f>SUM(H136:H138)</f>
        <v>0</v>
      </c>
      <c r="I135" s="28">
        <f>SUM(I136:I138)</f>
        <v>0</v>
      </c>
      <c r="J135" s="28">
        <f>SUM(J136:J138)</f>
        <v>0</v>
      </c>
      <c r="K135" s="53" t="s">
        <v>4</v>
      </c>
      <c r="AI135" s="34" t="s">
        <v>127</v>
      </c>
      <c r="AS135" s="28">
        <f>SUM(AJ136:AJ138)</f>
        <v>0</v>
      </c>
      <c r="AT135" s="28">
        <f>SUM(AK136:AK138)</f>
        <v>0</v>
      </c>
      <c r="AU135" s="28">
        <f>SUM(AL136:AL138)</f>
        <v>0</v>
      </c>
    </row>
    <row r="136" spans="1:76" x14ac:dyDescent="0.25">
      <c r="A136" s="1" t="s">
        <v>384</v>
      </c>
      <c r="B136" s="2" t="s">
        <v>514</v>
      </c>
      <c r="C136" s="83" t="s">
        <v>515</v>
      </c>
      <c r="D136" s="78"/>
      <c r="E136" s="2" t="s">
        <v>119</v>
      </c>
      <c r="F136" s="54">
        <f>'Stavební rozpočet'!F189</f>
        <v>226</v>
      </c>
      <c r="G136" s="54">
        <f>'Stavební rozpočet'!G189</f>
        <v>0</v>
      </c>
      <c r="H136" s="54">
        <f>ROUND(F136*AO136,2)</f>
        <v>0</v>
      </c>
      <c r="I136" s="54">
        <f>ROUND(F136*AP136,2)</f>
        <v>0</v>
      </c>
      <c r="J136" s="54">
        <f>ROUND(F136*G136,2)</f>
        <v>0</v>
      </c>
      <c r="K136" s="56" t="s">
        <v>120</v>
      </c>
      <c r="Z136" s="54">
        <f>ROUND(IF(AQ136="5",BJ136,0),2)</f>
        <v>0</v>
      </c>
      <c r="AB136" s="54">
        <f>ROUND(IF(AQ136="1",BH136,0),2)</f>
        <v>0</v>
      </c>
      <c r="AC136" s="54">
        <f>ROUND(IF(AQ136="1",BI136,0),2)</f>
        <v>0</v>
      </c>
      <c r="AD136" s="54">
        <f>ROUND(IF(AQ136="7",BH136,0),2)</f>
        <v>0</v>
      </c>
      <c r="AE136" s="54">
        <f>ROUND(IF(AQ136="7",BI136,0),2)</f>
        <v>0</v>
      </c>
      <c r="AF136" s="54">
        <f>ROUND(IF(AQ136="2",BH136,0),2)</f>
        <v>0</v>
      </c>
      <c r="AG136" s="54">
        <f>ROUND(IF(AQ136="2",BI136,0),2)</f>
        <v>0</v>
      </c>
      <c r="AH136" s="54">
        <f>ROUND(IF(AQ136="0",BJ136,0),2)</f>
        <v>0</v>
      </c>
      <c r="AI136" s="34" t="s">
        <v>127</v>
      </c>
      <c r="AJ136" s="54">
        <f>IF(AN136=0,J136,0)</f>
        <v>0</v>
      </c>
      <c r="AK136" s="54">
        <f>IF(AN136=0,J136,0)</f>
        <v>0</v>
      </c>
      <c r="AL136" s="54">
        <f>IF(AN136=21,J136,0)</f>
        <v>0</v>
      </c>
      <c r="AN136" s="54">
        <v>21</v>
      </c>
      <c r="AO136" s="54">
        <f>G136*0.706940639</f>
        <v>0</v>
      </c>
      <c r="AP136" s="54">
        <f>G136*(1-0.706940639)</f>
        <v>0</v>
      </c>
      <c r="AQ136" s="57" t="s">
        <v>108</v>
      </c>
      <c r="AV136" s="54">
        <f>ROUND(AW136+AX136,2)</f>
        <v>0</v>
      </c>
      <c r="AW136" s="54">
        <f>ROUND(F136*AO136,2)</f>
        <v>0</v>
      </c>
      <c r="AX136" s="54">
        <f>ROUND(F136*AP136,2)</f>
        <v>0</v>
      </c>
      <c r="AY136" s="57" t="s">
        <v>516</v>
      </c>
      <c r="AZ136" s="57" t="s">
        <v>517</v>
      </c>
      <c r="BA136" s="34" t="s">
        <v>132</v>
      </c>
      <c r="BC136" s="54">
        <f>AW136+AX136</f>
        <v>0</v>
      </c>
      <c r="BD136" s="54">
        <f>G136/(100-BE136)*100</f>
        <v>0</v>
      </c>
      <c r="BE136" s="54">
        <v>0</v>
      </c>
      <c r="BF136" s="54">
        <f>136</f>
        <v>136</v>
      </c>
      <c r="BH136" s="54">
        <f>F136*AO136</f>
        <v>0</v>
      </c>
      <c r="BI136" s="54">
        <f>F136*AP136</f>
        <v>0</v>
      </c>
      <c r="BJ136" s="54">
        <f>F136*G136</f>
        <v>0</v>
      </c>
      <c r="BK136" s="57" t="s">
        <v>115</v>
      </c>
      <c r="BL136" s="54">
        <v>56</v>
      </c>
      <c r="BW136" s="54">
        <v>21</v>
      </c>
      <c r="BX136" s="3" t="s">
        <v>515</v>
      </c>
    </row>
    <row r="137" spans="1:76" ht="13.5" customHeight="1" x14ac:dyDescent="0.25">
      <c r="A137" s="58"/>
      <c r="B137" s="59" t="s">
        <v>53</v>
      </c>
      <c r="C137" s="163" t="s">
        <v>438</v>
      </c>
      <c r="D137" s="164"/>
      <c r="E137" s="164"/>
      <c r="F137" s="164"/>
      <c r="G137" s="164"/>
      <c r="H137" s="164"/>
      <c r="I137" s="164"/>
      <c r="J137" s="164"/>
      <c r="K137" s="166"/>
    </row>
    <row r="138" spans="1:76" x14ac:dyDescent="0.25">
      <c r="A138" s="1" t="s">
        <v>387</v>
      </c>
      <c r="B138" s="2" t="s">
        <v>436</v>
      </c>
      <c r="C138" s="83" t="s">
        <v>519</v>
      </c>
      <c r="D138" s="78"/>
      <c r="E138" s="2" t="s">
        <v>119</v>
      </c>
      <c r="F138" s="54">
        <f>'Stavební rozpočet'!F191</f>
        <v>226</v>
      </c>
      <c r="G138" s="54">
        <f>'Stavební rozpočet'!G191</f>
        <v>0</v>
      </c>
      <c r="H138" s="54">
        <f>ROUND(F138*AO138,2)</f>
        <v>0</v>
      </c>
      <c r="I138" s="54">
        <f>ROUND(F138*AP138,2)</f>
        <v>0</v>
      </c>
      <c r="J138" s="54">
        <f>ROUND(F138*G138,2)</f>
        <v>0</v>
      </c>
      <c r="K138" s="56" t="s">
        <v>120</v>
      </c>
      <c r="Z138" s="54">
        <f>ROUND(IF(AQ138="5",BJ138,0),2)</f>
        <v>0</v>
      </c>
      <c r="AB138" s="54">
        <f>ROUND(IF(AQ138="1",BH138,0),2)</f>
        <v>0</v>
      </c>
      <c r="AC138" s="54">
        <f>ROUND(IF(AQ138="1",BI138,0),2)</f>
        <v>0</v>
      </c>
      <c r="AD138" s="54">
        <f>ROUND(IF(AQ138="7",BH138,0),2)</f>
        <v>0</v>
      </c>
      <c r="AE138" s="54">
        <f>ROUND(IF(AQ138="7",BI138,0),2)</f>
        <v>0</v>
      </c>
      <c r="AF138" s="54">
        <f>ROUND(IF(AQ138="2",BH138,0),2)</f>
        <v>0</v>
      </c>
      <c r="AG138" s="54">
        <f>ROUND(IF(AQ138="2",BI138,0),2)</f>
        <v>0</v>
      </c>
      <c r="AH138" s="54">
        <f>ROUND(IF(AQ138="0",BJ138,0),2)</f>
        <v>0</v>
      </c>
      <c r="AI138" s="34" t="s">
        <v>127</v>
      </c>
      <c r="AJ138" s="54">
        <f>IF(AN138=0,J138,0)</f>
        <v>0</v>
      </c>
      <c r="AK138" s="54">
        <f>IF(AN138=0,J138,0)</f>
        <v>0</v>
      </c>
      <c r="AL138" s="54">
        <f>IF(AN138=21,J138,0)</f>
        <v>0</v>
      </c>
      <c r="AN138" s="54">
        <v>21</v>
      </c>
      <c r="AO138" s="54">
        <f>G138*0.721021021</f>
        <v>0</v>
      </c>
      <c r="AP138" s="54">
        <f>G138*(1-0.721021021)</f>
        <v>0</v>
      </c>
      <c r="AQ138" s="57" t="s">
        <v>108</v>
      </c>
      <c r="AV138" s="54">
        <f>ROUND(AW138+AX138,2)</f>
        <v>0</v>
      </c>
      <c r="AW138" s="54">
        <f>ROUND(F138*AO138,2)</f>
        <v>0</v>
      </c>
      <c r="AX138" s="54">
        <f>ROUND(F138*AP138,2)</f>
        <v>0</v>
      </c>
      <c r="AY138" s="57" t="s">
        <v>516</v>
      </c>
      <c r="AZ138" s="57" t="s">
        <v>517</v>
      </c>
      <c r="BA138" s="34" t="s">
        <v>132</v>
      </c>
      <c r="BC138" s="54">
        <f>AW138+AX138</f>
        <v>0</v>
      </c>
      <c r="BD138" s="54">
        <f>G138/(100-BE138)*100</f>
        <v>0</v>
      </c>
      <c r="BE138" s="54">
        <v>0</v>
      </c>
      <c r="BF138" s="54">
        <f>138</f>
        <v>138</v>
      </c>
      <c r="BH138" s="54">
        <f>F138*AO138</f>
        <v>0</v>
      </c>
      <c r="BI138" s="54">
        <f>F138*AP138</f>
        <v>0</v>
      </c>
      <c r="BJ138" s="54">
        <f>F138*G138</f>
        <v>0</v>
      </c>
      <c r="BK138" s="57" t="s">
        <v>115</v>
      </c>
      <c r="BL138" s="54">
        <v>56</v>
      </c>
      <c r="BW138" s="54">
        <v>21</v>
      </c>
      <c r="BX138" s="3" t="s">
        <v>519</v>
      </c>
    </row>
    <row r="139" spans="1:76" ht="13.5" customHeight="1" x14ac:dyDescent="0.25">
      <c r="A139" s="58"/>
      <c r="B139" s="59" t="s">
        <v>53</v>
      </c>
      <c r="C139" s="163" t="s">
        <v>438</v>
      </c>
      <c r="D139" s="164"/>
      <c r="E139" s="164"/>
      <c r="F139" s="164"/>
      <c r="G139" s="164"/>
      <c r="H139" s="164"/>
      <c r="I139" s="164"/>
      <c r="J139" s="164"/>
      <c r="K139" s="166"/>
    </row>
    <row r="140" spans="1:76" x14ac:dyDescent="0.25">
      <c r="A140" s="49" t="s">
        <v>4</v>
      </c>
      <c r="B140" s="50" t="s">
        <v>322</v>
      </c>
      <c r="C140" s="161" t="s">
        <v>520</v>
      </c>
      <c r="D140" s="162"/>
      <c r="E140" s="51" t="s">
        <v>69</v>
      </c>
      <c r="F140" s="51" t="s">
        <v>69</v>
      </c>
      <c r="G140" s="51" t="s">
        <v>69</v>
      </c>
      <c r="H140" s="28">
        <f>SUM(H141:H141)</f>
        <v>0</v>
      </c>
      <c r="I140" s="28">
        <f>SUM(I141:I141)</f>
        <v>0</v>
      </c>
      <c r="J140" s="28">
        <f>SUM(J141:J141)</f>
        <v>0</v>
      </c>
      <c r="K140" s="53" t="s">
        <v>4</v>
      </c>
      <c r="AI140" s="34" t="s">
        <v>127</v>
      </c>
      <c r="AS140" s="28">
        <f>SUM(AJ141:AJ141)</f>
        <v>0</v>
      </c>
      <c r="AT140" s="28">
        <f>SUM(AK141:AK141)</f>
        <v>0</v>
      </c>
      <c r="AU140" s="28">
        <f>SUM(AL141:AL141)</f>
        <v>0</v>
      </c>
    </row>
    <row r="141" spans="1:76" x14ac:dyDescent="0.25">
      <c r="A141" s="1" t="s">
        <v>390</v>
      </c>
      <c r="B141" s="2" t="s">
        <v>522</v>
      </c>
      <c r="C141" s="83" t="s">
        <v>523</v>
      </c>
      <c r="D141" s="78"/>
      <c r="E141" s="2" t="s">
        <v>119</v>
      </c>
      <c r="F141" s="54">
        <f>'Stavební rozpočet'!F194</f>
        <v>226</v>
      </c>
      <c r="G141" s="54">
        <f>'Stavební rozpočet'!G194</f>
        <v>0</v>
      </c>
      <c r="H141" s="54">
        <f>ROUND(F141*AO141,2)</f>
        <v>0</v>
      </c>
      <c r="I141" s="54">
        <f>ROUND(F141*AP141,2)</f>
        <v>0</v>
      </c>
      <c r="J141" s="54">
        <f>ROUND(F141*G141,2)</f>
        <v>0</v>
      </c>
      <c r="K141" s="56" t="s">
        <v>120</v>
      </c>
      <c r="Z141" s="54">
        <f>ROUND(IF(AQ141="5",BJ141,0),2)</f>
        <v>0</v>
      </c>
      <c r="AB141" s="54">
        <f>ROUND(IF(AQ141="1",BH141,0),2)</f>
        <v>0</v>
      </c>
      <c r="AC141" s="54">
        <f>ROUND(IF(AQ141="1",BI141,0),2)</f>
        <v>0</v>
      </c>
      <c r="AD141" s="54">
        <f>ROUND(IF(AQ141="7",BH141,0),2)</f>
        <v>0</v>
      </c>
      <c r="AE141" s="54">
        <f>ROUND(IF(AQ141="7",BI141,0),2)</f>
        <v>0</v>
      </c>
      <c r="AF141" s="54">
        <f>ROUND(IF(AQ141="2",BH141,0),2)</f>
        <v>0</v>
      </c>
      <c r="AG141" s="54">
        <f>ROUND(IF(AQ141="2",BI141,0),2)</f>
        <v>0</v>
      </c>
      <c r="AH141" s="54">
        <f>ROUND(IF(AQ141="0",BJ141,0),2)</f>
        <v>0</v>
      </c>
      <c r="AI141" s="34" t="s">
        <v>127</v>
      </c>
      <c r="AJ141" s="54">
        <f>IF(AN141=0,J141,0)</f>
        <v>0</v>
      </c>
      <c r="AK141" s="54">
        <f>IF(AN141=0,J141,0)</f>
        <v>0</v>
      </c>
      <c r="AL141" s="54">
        <f>IF(AN141=21,J141,0)</f>
        <v>0</v>
      </c>
      <c r="AN141" s="54">
        <v>21</v>
      </c>
      <c r="AO141" s="54">
        <f>G141*0.08952791</f>
        <v>0</v>
      </c>
      <c r="AP141" s="54">
        <f>G141*(1-0.08952791)</f>
        <v>0</v>
      </c>
      <c r="AQ141" s="57" t="s">
        <v>108</v>
      </c>
      <c r="AV141" s="54">
        <f>ROUND(AW141+AX141,2)</f>
        <v>0</v>
      </c>
      <c r="AW141" s="54">
        <f>ROUND(F141*AO141,2)</f>
        <v>0</v>
      </c>
      <c r="AX141" s="54">
        <f>ROUND(F141*AP141,2)</f>
        <v>0</v>
      </c>
      <c r="AY141" s="57" t="s">
        <v>524</v>
      </c>
      <c r="AZ141" s="57" t="s">
        <v>525</v>
      </c>
      <c r="BA141" s="34" t="s">
        <v>132</v>
      </c>
      <c r="BC141" s="54">
        <f>AW141+AX141</f>
        <v>0</v>
      </c>
      <c r="BD141" s="54">
        <f>G141/(100-BE141)*100</f>
        <v>0</v>
      </c>
      <c r="BE141" s="54">
        <v>0</v>
      </c>
      <c r="BF141" s="54">
        <f>141</f>
        <v>141</v>
      </c>
      <c r="BH141" s="54">
        <f>F141*AO141</f>
        <v>0</v>
      </c>
      <c r="BI141" s="54">
        <f>F141*AP141</f>
        <v>0</v>
      </c>
      <c r="BJ141" s="54">
        <f>F141*G141</f>
        <v>0</v>
      </c>
      <c r="BK141" s="57" t="s">
        <v>115</v>
      </c>
      <c r="BL141" s="54">
        <v>63</v>
      </c>
      <c r="BW141" s="54">
        <v>21</v>
      </c>
      <c r="BX141" s="3" t="s">
        <v>523</v>
      </c>
    </row>
    <row r="142" spans="1:76" x14ac:dyDescent="0.25">
      <c r="A142" s="49" t="s">
        <v>4</v>
      </c>
      <c r="B142" s="50" t="s">
        <v>526</v>
      </c>
      <c r="C142" s="161" t="s">
        <v>527</v>
      </c>
      <c r="D142" s="162"/>
      <c r="E142" s="51" t="s">
        <v>69</v>
      </c>
      <c r="F142" s="51" t="s">
        <v>69</v>
      </c>
      <c r="G142" s="51" t="s">
        <v>69</v>
      </c>
      <c r="H142" s="28">
        <f>SUM(H143:H143)</f>
        <v>0</v>
      </c>
      <c r="I142" s="28">
        <f>SUM(I143:I143)</f>
        <v>0</v>
      </c>
      <c r="J142" s="28">
        <f>SUM(J143:J143)</f>
        <v>0</v>
      </c>
      <c r="K142" s="53" t="s">
        <v>4</v>
      </c>
      <c r="AI142" s="34" t="s">
        <v>127</v>
      </c>
      <c r="AS142" s="28">
        <f>SUM(AJ143:AJ143)</f>
        <v>0</v>
      </c>
      <c r="AT142" s="28">
        <f>SUM(AK143:AK143)</f>
        <v>0</v>
      </c>
      <c r="AU142" s="28">
        <f>SUM(AL143:AL143)</f>
        <v>0</v>
      </c>
    </row>
    <row r="143" spans="1:76" x14ac:dyDescent="0.25">
      <c r="A143" s="1" t="s">
        <v>393</v>
      </c>
      <c r="B143" s="2" t="s">
        <v>442</v>
      </c>
      <c r="C143" s="83" t="s">
        <v>529</v>
      </c>
      <c r="D143" s="78"/>
      <c r="E143" s="2" t="s">
        <v>444</v>
      </c>
      <c r="F143" s="54">
        <f>'Stavební rozpočet'!F196</f>
        <v>840</v>
      </c>
      <c r="G143" s="54">
        <f>'Stavební rozpočet'!G196</f>
        <v>0</v>
      </c>
      <c r="H143" s="54">
        <f>ROUND(F143*AO143,2)</f>
        <v>0</v>
      </c>
      <c r="I143" s="54">
        <f>ROUND(F143*AP143,2)</f>
        <v>0</v>
      </c>
      <c r="J143" s="54">
        <f>ROUND(F143*G143,2)</f>
        <v>0</v>
      </c>
      <c r="K143" s="56" t="s">
        <v>4</v>
      </c>
      <c r="Z143" s="54">
        <f>ROUND(IF(AQ143="5",BJ143,0),2)</f>
        <v>0</v>
      </c>
      <c r="AB143" s="54">
        <f>ROUND(IF(AQ143="1",BH143,0),2)</f>
        <v>0</v>
      </c>
      <c r="AC143" s="54">
        <f>ROUND(IF(AQ143="1",BI143,0),2)</f>
        <v>0</v>
      </c>
      <c r="AD143" s="54">
        <f>ROUND(IF(AQ143="7",BH143,0),2)</f>
        <v>0</v>
      </c>
      <c r="AE143" s="54">
        <f>ROUND(IF(AQ143="7",BI143,0),2)</f>
        <v>0</v>
      </c>
      <c r="AF143" s="54">
        <f>ROUND(IF(AQ143="2",BH143,0),2)</f>
        <v>0</v>
      </c>
      <c r="AG143" s="54">
        <f>ROUND(IF(AQ143="2",BI143,0),2)</f>
        <v>0</v>
      </c>
      <c r="AH143" s="54">
        <f>ROUND(IF(AQ143="0",BJ143,0),2)</f>
        <v>0</v>
      </c>
      <c r="AI143" s="34" t="s">
        <v>127</v>
      </c>
      <c r="AJ143" s="54">
        <f>IF(AN143=0,J143,0)</f>
        <v>0</v>
      </c>
      <c r="AK143" s="54">
        <f>IF(AN143=0,J143,0)</f>
        <v>0</v>
      </c>
      <c r="AL143" s="54">
        <f>IF(AN143=21,J143,0)</f>
        <v>0</v>
      </c>
      <c r="AN143" s="54">
        <v>21</v>
      </c>
      <c r="AO143" s="54">
        <f>G143*0</f>
        <v>0</v>
      </c>
      <c r="AP143" s="54">
        <f>G143*(1-0)</f>
        <v>0</v>
      </c>
      <c r="AQ143" s="57" t="s">
        <v>129</v>
      </c>
      <c r="AV143" s="54">
        <f>ROUND(AW143+AX143,2)</f>
        <v>0</v>
      </c>
      <c r="AW143" s="54">
        <f>ROUND(F143*AO143,2)</f>
        <v>0</v>
      </c>
      <c r="AX143" s="54">
        <f>ROUND(F143*AP143,2)</f>
        <v>0</v>
      </c>
      <c r="AY143" s="57" t="s">
        <v>530</v>
      </c>
      <c r="AZ143" s="57" t="s">
        <v>531</v>
      </c>
      <c r="BA143" s="34" t="s">
        <v>132</v>
      </c>
      <c r="BC143" s="54">
        <f>AW143+AX143</f>
        <v>0</v>
      </c>
      <c r="BD143" s="54">
        <f>G143/(100-BE143)*100</f>
        <v>0</v>
      </c>
      <c r="BE143" s="54">
        <v>0</v>
      </c>
      <c r="BF143" s="54">
        <f>143</f>
        <v>143</v>
      </c>
      <c r="BH143" s="54">
        <f>F143*AO143</f>
        <v>0</v>
      </c>
      <c r="BI143" s="54">
        <f>F143*AP143</f>
        <v>0</v>
      </c>
      <c r="BJ143" s="54">
        <f>F143*G143</f>
        <v>0</v>
      </c>
      <c r="BK143" s="57" t="s">
        <v>115</v>
      </c>
      <c r="BL143" s="54"/>
      <c r="BW143" s="54">
        <v>21</v>
      </c>
      <c r="BX143" s="3" t="s">
        <v>529</v>
      </c>
    </row>
    <row r="144" spans="1:76" ht="40.5" customHeight="1" x14ac:dyDescent="0.25">
      <c r="A144" s="58"/>
      <c r="B144" s="59" t="s">
        <v>53</v>
      </c>
      <c r="C144" s="163" t="s">
        <v>532</v>
      </c>
      <c r="D144" s="164"/>
      <c r="E144" s="164"/>
      <c r="F144" s="164"/>
      <c r="G144" s="164"/>
      <c r="H144" s="164"/>
      <c r="I144" s="164"/>
      <c r="J144" s="164"/>
      <c r="K144" s="166"/>
    </row>
    <row r="145" spans="1:76" x14ac:dyDescent="0.25">
      <c r="A145" s="49" t="s">
        <v>4</v>
      </c>
      <c r="B145" s="50" t="s">
        <v>258</v>
      </c>
      <c r="C145" s="161" t="s">
        <v>259</v>
      </c>
      <c r="D145" s="162"/>
      <c r="E145" s="51" t="s">
        <v>69</v>
      </c>
      <c r="F145" s="51" t="s">
        <v>69</v>
      </c>
      <c r="G145" s="51" t="s">
        <v>69</v>
      </c>
      <c r="H145" s="28">
        <f>SUM(H146:H146)</f>
        <v>0</v>
      </c>
      <c r="I145" s="28">
        <f>SUM(I146:I146)</f>
        <v>0</v>
      </c>
      <c r="J145" s="28">
        <f>SUM(J146:J146)</f>
        <v>0</v>
      </c>
      <c r="K145" s="53" t="s">
        <v>4</v>
      </c>
      <c r="AI145" s="34" t="s">
        <v>127</v>
      </c>
      <c r="AS145" s="28">
        <f>SUM(AJ146:AJ146)</f>
        <v>0</v>
      </c>
      <c r="AT145" s="28">
        <f>SUM(AK146:AK146)</f>
        <v>0</v>
      </c>
      <c r="AU145" s="28">
        <f>SUM(AL146:AL146)</f>
        <v>0</v>
      </c>
    </row>
    <row r="146" spans="1:76" x14ac:dyDescent="0.25">
      <c r="A146" s="4" t="s">
        <v>396</v>
      </c>
      <c r="B146" s="5" t="s">
        <v>534</v>
      </c>
      <c r="C146" s="175" t="s">
        <v>535</v>
      </c>
      <c r="D146" s="81"/>
      <c r="E146" s="5" t="s">
        <v>136</v>
      </c>
      <c r="F146" s="71">
        <f>'Stavební rozpočet'!F199</f>
        <v>164.17</v>
      </c>
      <c r="G146" s="71">
        <f>'Stavební rozpočet'!G199</f>
        <v>0</v>
      </c>
      <c r="H146" s="71">
        <f>ROUND(F146*AO146,2)</f>
        <v>0</v>
      </c>
      <c r="I146" s="71">
        <f>ROUND(F146*AP146,2)</f>
        <v>0</v>
      </c>
      <c r="J146" s="71">
        <f>ROUND(F146*G146,2)</f>
        <v>0</v>
      </c>
      <c r="K146" s="72" t="s">
        <v>120</v>
      </c>
      <c r="Z146" s="54">
        <f>ROUND(IF(AQ146="5",BJ146,0),2)</f>
        <v>0</v>
      </c>
      <c r="AB146" s="54">
        <f>ROUND(IF(AQ146="1",BH146,0),2)</f>
        <v>0</v>
      </c>
      <c r="AC146" s="54">
        <f>ROUND(IF(AQ146="1",BI146,0),2)</f>
        <v>0</v>
      </c>
      <c r="AD146" s="54">
        <f>ROUND(IF(AQ146="7",BH146,0),2)</f>
        <v>0</v>
      </c>
      <c r="AE146" s="54">
        <f>ROUND(IF(AQ146="7",BI146,0),2)</f>
        <v>0</v>
      </c>
      <c r="AF146" s="54">
        <f>ROUND(IF(AQ146="2",BH146,0),2)</f>
        <v>0</v>
      </c>
      <c r="AG146" s="54">
        <f>ROUND(IF(AQ146="2",BI146,0),2)</f>
        <v>0</v>
      </c>
      <c r="AH146" s="54">
        <f>ROUND(IF(AQ146="0",BJ146,0),2)</f>
        <v>0</v>
      </c>
      <c r="AI146" s="34" t="s">
        <v>127</v>
      </c>
      <c r="AJ146" s="54">
        <f>IF(AN146=0,J146,0)</f>
        <v>0</v>
      </c>
      <c r="AK146" s="54">
        <f>IF(AN146=0,J146,0)</f>
        <v>0</v>
      </c>
      <c r="AL146" s="54">
        <f>IF(AN146=21,J146,0)</f>
        <v>0</v>
      </c>
      <c r="AN146" s="54">
        <v>21</v>
      </c>
      <c r="AO146" s="54">
        <f>G146*0</f>
        <v>0</v>
      </c>
      <c r="AP146" s="54">
        <f>G146*(1-0)</f>
        <v>0</v>
      </c>
      <c r="AQ146" s="57" t="s">
        <v>129</v>
      </c>
      <c r="AV146" s="54">
        <f>ROUND(AW146+AX146,2)</f>
        <v>0</v>
      </c>
      <c r="AW146" s="54">
        <f>ROUND(F146*AO146,2)</f>
        <v>0</v>
      </c>
      <c r="AX146" s="54">
        <f>ROUND(F146*AP146,2)</f>
        <v>0</v>
      </c>
      <c r="AY146" s="57" t="s">
        <v>261</v>
      </c>
      <c r="AZ146" s="57" t="s">
        <v>531</v>
      </c>
      <c r="BA146" s="34" t="s">
        <v>132</v>
      </c>
      <c r="BC146" s="54">
        <f>AW146+AX146</f>
        <v>0</v>
      </c>
      <c r="BD146" s="54">
        <f>G146/(100-BE146)*100</f>
        <v>0</v>
      </c>
      <c r="BE146" s="54">
        <v>0</v>
      </c>
      <c r="BF146" s="54">
        <f>146</f>
        <v>146</v>
      </c>
      <c r="BH146" s="54">
        <f>F146*AO146</f>
        <v>0</v>
      </c>
      <c r="BI146" s="54">
        <f>F146*AP146</f>
        <v>0</v>
      </c>
      <c r="BJ146" s="54">
        <f>F146*G146</f>
        <v>0</v>
      </c>
      <c r="BK146" s="57" t="s">
        <v>115</v>
      </c>
      <c r="BL146" s="54"/>
      <c r="BW146" s="54">
        <v>21</v>
      </c>
      <c r="BX146" s="3" t="s">
        <v>535</v>
      </c>
    </row>
    <row r="147" spans="1:76" x14ac:dyDescent="0.25">
      <c r="H147" s="173" t="s">
        <v>548</v>
      </c>
      <c r="I147" s="173"/>
      <c r="J147" s="67">
        <f>ROUND(J13+J18+J22+J26+J29+J33+J41+J47+J49+J58+J61+J63+J73+J76+J86+J89+J99+J102+J115+J120+J123+J126+J132+J135+J140+J142+J145,2)</f>
        <v>0</v>
      </c>
    </row>
    <row r="148" spans="1:76" x14ac:dyDescent="0.25">
      <c r="A148" s="68" t="s">
        <v>53</v>
      </c>
    </row>
    <row r="149" spans="1:76" ht="12.75" customHeight="1" x14ac:dyDescent="0.25">
      <c r="A149" s="83" t="s">
        <v>4</v>
      </c>
      <c r="B149" s="78"/>
      <c r="C149" s="78"/>
      <c r="D149" s="78"/>
      <c r="E149" s="78"/>
      <c r="F149" s="78"/>
      <c r="G149" s="78"/>
      <c r="H149" s="78"/>
      <c r="I149" s="78"/>
      <c r="J149" s="78"/>
      <c r="K149" s="78"/>
    </row>
  </sheetData>
  <sheetProtection password="CC59" sheet="1"/>
  <mergeCells count="165">
    <mergeCell ref="C145:D145"/>
    <mergeCell ref="C146:D146"/>
    <mergeCell ref="H147:I147"/>
    <mergeCell ref="A149:K149"/>
    <mergeCell ref="C140:D140"/>
    <mergeCell ref="C141:D141"/>
    <mergeCell ref="C142:D142"/>
    <mergeCell ref="C143:D143"/>
    <mergeCell ref="C144:K144"/>
    <mergeCell ref="C135:D135"/>
    <mergeCell ref="C136:D136"/>
    <mergeCell ref="C137:K137"/>
    <mergeCell ref="C138:D138"/>
    <mergeCell ref="C139:K139"/>
    <mergeCell ref="C130:D130"/>
    <mergeCell ref="C131:D131"/>
    <mergeCell ref="C132:D132"/>
    <mergeCell ref="C133:D133"/>
    <mergeCell ref="C134:K134"/>
    <mergeCell ref="C125:D125"/>
    <mergeCell ref="C126:D126"/>
    <mergeCell ref="C127:D127"/>
    <mergeCell ref="C128:D128"/>
    <mergeCell ref="C129:D129"/>
    <mergeCell ref="C120:D120"/>
    <mergeCell ref="C121:D121"/>
    <mergeCell ref="C122:D122"/>
    <mergeCell ref="C123:D123"/>
    <mergeCell ref="C124:D124"/>
    <mergeCell ref="C115:D115"/>
    <mergeCell ref="C116:D116"/>
    <mergeCell ref="C117:D117"/>
    <mergeCell ref="C118:D118"/>
    <mergeCell ref="C119:D119"/>
    <mergeCell ref="C110:D110"/>
    <mergeCell ref="C111:K111"/>
    <mergeCell ref="C112:D112"/>
    <mergeCell ref="C113:D113"/>
    <mergeCell ref="C114:K114"/>
    <mergeCell ref="C105:D105"/>
    <mergeCell ref="C106:D106"/>
    <mergeCell ref="C107:K107"/>
    <mergeCell ref="C108:D108"/>
    <mergeCell ref="C109:K109"/>
    <mergeCell ref="C100:D100"/>
    <mergeCell ref="C101:D101"/>
    <mergeCell ref="C102:D102"/>
    <mergeCell ref="C103:D103"/>
    <mergeCell ref="C104:D104"/>
    <mergeCell ref="C95:D95"/>
    <mergeCell ref="C96:D96"/>
    <mergeCell ref="C97:D97"/>
    <mergeCell ref="C98:D98"/>
    <mergeCell ref="C99:D99"/>
    <mergeCell ref="C90:D90"/>
    <mergeCell ref="C91:D91"/>
    <mergeCell ref="C92:D92"/>
    <mergeCell ref="C93:D93"/>
    <mergeCell ref="C94:D94"/>
    <mergeCell ref="C85:D85"/>
    <mergeCell ref="C86:D86"/>
    <mergeCell ref="C87:D87"/>
    <mergeCell ref="C88:D88"/>
    <mergeCell ref="C89:D89"/>
    <mergeCell ref="C80:D80"/>
    <mergeCell ref="C81:D81"/>
    <mergeCell ref="C82:D82"/>
    <mergeCell ref="C83:D83"/>
    <mergeCell ref="C84:D84"/>
    <mergeCell ref="C75:D75"/>
    <mergeCell ref="C76:D76"/>
    <mergeCell ref="C77:D77"/>
    <mergeCell ref="C78:D78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68:D68"/>
    <mergeCell ref="C69:D69"/>
    <mergeCell ref="C60:D60"/>
    <mergeCell ref="C61:D61"/>
    <mergeCell ref="C62:D62"/>
    <mergeCell ref="C63:D63"/>
    <mergeCell ref="C64:D64"/>
    <mergeCell ref="C55:D55"/>
    <mergeCell ref="C56:D56"/>
    <mergeCell ref="C57:D57"/>
    <mergeCell ref="C58:D58"/>
    <mergeCell ref="C59:D59"/>
    <mergeCell ref="C50:D50"/>
    <mergeCell ref="C51:D51"/>
    <mergeCell ref="C52:D52"/>
    <mergeCell ref="C53:D53"/>
    <mergeCell ref="C54:D54"/>
    <mergeCell ref="C45:D45"/>
    <mergeCell ref="C46:D46"/>
    <mergeCell ref="C47:D47"/>
    <mergeCell ref="C48:D48"/>
    <mergeCell ref="C49:D49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0:D30"/>
    <mergeCell ref="C31:K31"/>
    <mergeCell ref="C32:D32"/>
    <mergeCell ref="C33:D33"/>
    <mergeCell ref="C34:D34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1:D11"/>
    <mergeCell ref="H10:J10"/>
    <mergeCell ref="C12:D12"/>
    <mergeCell ref="C13:D13"/>
    <mergeCell ref="C14:D14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Z84"/>
  <sheetViews>
    <sheetView workbookViewId="0">
      <pane ySplit="11" topLeftCell="A12" activePane="bottomLeft" state="frozen"/>
      <selection pane="bottomLeft" activeCell="A84" sqref="A84:K84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4.2851562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74" t="s">
        <v>550</v>
      </c>
      <c r="B1" s="74"/>
      <c r="C1" s="74"/>
      <c r="D1" s="74"/>
      <c r="E1" s="74"/>
      <c r="F1" s="74"/>
      <c r="G1" s="74"/>
      <c r="H1" s="74"/>
      <c r="I1" s="74"/>
      <c r="J1" s="74"/>
      <c r="K1" s="74"/>
      <c r="AS1" s="28">
        <f>SUM(AJ1:AJ2)</f>
        <v>0</v>
      </c>
      <c r="AT1" s="28">
        <f>SUM(AK1:AK2)</f>
        <v>0</v>
      </c>
      <c r="AU1" s="28">
        <f>SUM(AL1:AL2)</f>
        <v>0</v>
      </c>
    </row>
    <row r="2" spans="1:76" x14ac:dyDescent="0.25">
      <c r="A2" s="75" t="s">
        <v>1</v>
      </c>
      <c r="B2" s="76"/>
      <c r="C2" s="84" t="str">
        <f>'Stavební rozpočet'!C2</f>
        <v>Úprava veřejného prostranství v centru Břeclavi – Poštorné</v>
      </c>
      <c r="D2" s="85"/>
      <c r="E2" s="76" t="s">
        <v>68</v>
      </c>
      <c r="F2" s="76"/>
      <c r="G2" s="82" t="str">
        <f>'Stavební rozpočet'!G2</f>
        <v xml:space="preserve"> </v>
      </c>
      <c r="H2" s="82" t="s">
        <v>2</v>
      </c>
      <c r="I2" s="82" t="str">
        <f>'Stavební rozpočet'!I2</f>
        <v> </v>
      </c>
      <c r="J2" s="76"/>
      <c r="K2" s="87"/>
    </row>
    <row r="3" spans="1:76" x14ac:dyDescent="0.25">
      <c r="A3" s="77"/>
      <c r="B3" s="78"/>
      <c r="C3" s="86"/>
      <c r="D3" s="86"/>
      <c r="E3" s="78"/>
      <c r="F3" s="78"/>
      <c r="G3" s="78"/>
      <c r="H3" s="78"/>
      <c r="I3" s="78"/>
      <c r="J3" s="78"/>
      <c r="K3" s="88"/>
    </row>
    <row r="4" spans="1:76" x14ac:dyDescent="0.25">
      <c r="A4" s="79" t="s">
        <v>5</v>
      </c>
      <c r="B4" s="78"/>
      <c r="C4" s="83" t="str">
        <f>'Stavební rozpočet'!C4</f>
        <v>Vegetační a technické úpravy</v>
      </c>
      <c r="D4" s="78"/>
      <c r="E4" s="78" t="s">
        <v>10</v>
      </c>
      <c r="F4" s="78"/>
      <c r="G4" s="83" t="str">
        <f>'Stavební rozpočet'!G4</f>
        <v xml:space="preserve"> </v>
      </c>
      <c r="H4" s="83" t="s">
        <v>6</v>
      </c>
      <c r="I4" s="83" t="str">
        <f>'Stavební rozpočet'!I4</f>
        <v>Ing. Přemysl Krejčiřík, Ph.D.</v>
      </c>
      <c r="J4" s="78"/>
      <c r="K4" s="88"/>
    </row>
    <row r="5" spans="1:76" x14ac:dyDescent="0.25">
      <c r="A5" s="77"/>
      <c r="B5" s="78"/>
      <c r="C5" s="78"/>
      <c r="D5" s="78"/>
      <c r="E5" s="78"/>
      <c r="F5" s="78"/>
      <c r="G5" s="78"/>
      <c r="H5" s="78"/>
      <c r="I5" s="78"/>
      <c r="J5" s="78"/>
      <c r="K5" s="88"/>
    </row>
    <row r="6" spans="1:76" x14ac:dyDescent="0.25">
      <c r="A6" s="79" t="s">
        <v>8</v>
      </c>
      <c r="B6" s="78"/>
      <c r="C6" s="83" t="str">
        <f>'Stavební rozpočet'!C6</f>
        <v xml:space="preserve"> </v>
      </c>
      <c r="D6" s="78"/>
      <c r="E6" s="78" t="s">
        <v>11</v>
      </c>
      <c r="F6" s="78"/>
      <c r="G6" s="83" t="str">
        <f>'Stavební rozpočet'!G6</f>
        <v xml:space="preserve"> </v>
      </c>
      <c r="H6" s="83" t="s">
        <v>9</v>
      </c>
      <c r="I6" s="83" t="str">
        <f>'Stavební rozpočet'!I6</f>
        <v> </v>
      </c>
      <c r="J6" s="78"/>
      <c r="K6" s="88"/>
    </row>
    <row r="7" spans="1:76" x14ac:dyDescent="0.25">
      <c r="A7" s="77"/>
      <c r="B7" s="78"/>
      <c r="C7" s="78"/>
      <c r="D7" s="78"/>
      <c r="E7" s="78"/>
      <c r="F7" s="78"/>
      <c r="G7" s="78"/>
      <c r="H7" s="78"/>
      <c r="I7" s="78"/>
      <c r="J7" s="78"/>
      <c r="K7" s="88"/>
    </row>
    <row r="8" spans="1:76" x14ac:dyDescent="0.25">
      <c r="A8" s="79" t="s">
        <v>13</v>
      </c>
      <c r="B8" s="78"/>
      <c r="C8" s="83" t="str">
        <f>'Stavební rozpočet'!C8</f>
        <v xml:space="preserve"> </v>
      </c>
      <c r="D8" s="78"/>
      <c r="E8" s="78" t="s">
        <v>73</v>
      </c>
      <c r="F8" s="78"/>
      <c r="G8" s="83" t="str">
        <f>'Stavební rozpočet'!G8</f>
        <v>21.04.2025</v>
      </c>
      <c r="H8" s="83" t="s">
        <v>14</v>
      </c>
      <c r="I8" s="83" t="str">
        <f>'Stavební rozpočet'!I8</f>
        <v>Ing. Eliška Křížová</v>
      </c>
      <c r="J8" s="78"/>
      <c r="K8" s="88"/>
    </row>
    <row r="9" spans="1:76" x14ac:dyDescent="0.25">
      <c r="A9" s="144"/>
      <c r="B9" s="145"/>
      <c r="C9" s="145"/>
      <c r="D9" s="145"/>
      <c r="E9" s="145"/>
      <c r="F9" s="145"/>
      <c r="G9" s="145"/>
      <c r="H9" s="145"/>
      <c r="I9" s="145"/>
      <c r="J9" s="145"/>
      <c r="K9" s="174"/>
    </row>
    <row r="10" spans="1:76" x14ac:dyDescent="0.25">
      <c r="A10" s="29" t="s">
        <v>76</v>
      </c>
      <c r="B10" s="30" t="s">
        <v>77</v>
      </c>
      <c r="C10" s="152" t="s">
        <v>78</v>
      </c>
      <c r="D10" s="153"/>
      <c r="E10" s="30" t="s">
        <v>79</v>
      </c>
      <c r="F10" s="31" t="s">
        <v>80</v>
      </c>
      <c r="G10" s="69" t="s">
        <v>81</v>
      </c>
      <c r="H10" s="156" t="s">
        <v>82</v>
      </c>
      <c r="I10" s="157"/>
      <c r="J10" s="158"/>
      <c r="K10" s="33" t="s">
        <v>83</v>
      </c>
      <c r="BK10" s="34" t="s">
        <v>84</v>
      </c>
      <c r="BL10" s="35" t="s">
        <v>85</v>
      </c>
      <c r="BW10" s="35" t="s">
        <v>86</v>
      </c>
    </row>
    <row r="11" spans="1:76" x14ac:dyDescent="0.25">
      <c r="A11" s="36" t="s">
        <v>69</v>
      </c>
      <c r="B11" s="37" t="s">
        <v>69</v>
      </c>
      <c r="C11" s="154" t="s">
        <v>87</v>
      </c>
      <c r="D11" s="155"/>
      <c r="E11" s="37" t="s">
        <v>69</v>
      </c>
      <c r="F11" s="37" t="s">
        <v>69</v>
      </c>
      <c r="G11" s="70" t="s">
        <v>88</v>
      </c>
      <c r="H11" s="39" t="s">
        <v>89</v>
      </c>
      <c r="I11" s="40" t="s">
        <v>27</v>
      </c>
      <c r="J11" s="41" t="s">
        <v>90</v>
      </c>
      <c r="K11" s="42" t="s">
        <v>91</v>
      </c>
      <c r="Z11" s="34" t="s">
        <v>92</v>
      </c>
      <c r="AA11" s="34" t="s">
        <v>93</v>
      </c>
      <c r="AB11" s="34" t="s">
        <v>94</v>
      </c>
      <c r="AC11" s="34" t="s">
        <v>95</v>
      </c>
      <c r="AD11" s="34" t="s">
        <v>96</v>
      </c>
      <c r="AE11" s="34" t="s">
        <v>97</v>
      </c>
      <c r="AF11" s="34" t="s">
        <v>98</v>
      </c>
      <c r="AG11" s="34" t="s">
        <v>99</v>
      </c>
      <c r="AH11" s="34" t="s">
        <v>100</v>
      </c>
      <c r="BH11" s="34" t="s">
        <v>101</v>
      </c>
      <c r="BI11" s="34" t="s">
        <v>102</v>
      </c>
      <c r="BJ11" s="34" t="s">
        <v>103</v>
      </c>
    </row>
    <row r="12" spans="1:76" x14ac:dyDescent="0.25">
      <c r="A12" s="43" t="s">
        <v>4</v>
      </c>
      <c r="B12" s="44" t="s">
        <v>4</v>
      </c>
      <c r="C12" s="159" t="s">
        <v>104</v>
      </c>
      <c r="D12" s="160"/>
      <c r="E12" s="45" t="s">
        <v>69</v>
      </c>
      <c r="F12" s="45" t="s">
        <v>69</v>
      </c>
      <c r="G12" s="45" t="s">
        <v>69</v>
      </c>
      <c r="H12" s="47">
        <f>H13</f>
        <v>0</v>
      </c>
      <c r="I12" s="47">
        <f>I13</f>
        <v>0</v>
      </c>
      <c r="J12" s="47">
        <f>J13</f>
        <v>0</v>
      </c>
      <c r="K12" s="48" t="s">
        <v>4</v>
      </c>
    </row>
    <row r="13" spans="1:76" x14ac:dyDescent="0.25">
      <c r="A13" s="49" t="s">
        <v>4</v>
      </c>
      <c r="B13" s="50" t="s">
        <v>190</v>
      </c>
      <c r="C13" s="161" t="s">
        <v>40</v>
      </c>
      <c r="D13" s="162"/>
      <c r="E13" s="51" t="s">
        <v>69</v>
      </c>
      <c r="F13" s="51" t="s">
        <v>69</v>
      </c>
      <c r="G13" s="51" t="s">
        <v>69</v>
      </c>
      <c r="H13" s="28">
        <f>SUM(H14:H14)</f>
        <v>0</v>
      </c>
      <c r="I13" s="28">
        <f>SUM(I14:I14)</f>
        <v>0</v>
      </c>
      <c r="J13" s="28">
        <f>SUM(J14:J14)</f>
        <v>0</v>
      </c>
      <c r="K13" s="53" t="s">
        <v>4</v>
      </c>
      <c r="AI13" s="34" t="s">
        <v>107</v>
      </c>
      <c r="AS13" s="28">
        <f>SUM(AJ14:AJ14)</f>
        <v>0</v>
      </c>
      <c r="AT13" s="28">
        <f>SUM(AK14:AK14)</f>
        <v>0</v>
      </c>
      <c r="AU13" s="28">
        <f>SUM(AL14:AL14)</f>
        <v>0</v>
      </c>
    </row>
    <row r="14" spans="1:76" x14ac:dyDescent="0.25">
      <c r="A14" s="1" t="s">
        <v>108</v>
      </c>
      <c r="B14" s="2" t="s">
        <v>192</v>
      </c>
      <c r="C14" s="83" t="s">
        <v>193</v>
      </c>
      <c r="D14" s="78"/>
      <c r="E14" s="2" t="s">
        <v>136</v>
      </c>
      <c r="F14" s="54">
        <f>'Stavební rozpočet'!F41</f>
        <v>0.12</v>
      </c>
      <c r="G14" s="54">
        <f>'Stavební rozpočet'!G41</f>
        <v>0</v>
      </c>
      <c r="H14" s="54">
        <f>ROUND(F14*AO14,2)</f>
        <v>0</v>
      </c>
      <c r="I14" s="54">
        <f>ROUND(F14*AP14,2)</f>
        <v>0</v>
      </c>
      <c r="J14" s="54">
        <f>ROUND(F14*G14,2)</f>
        <v>0</v>
      </c>
      <c r="K14" s="56" t="s">
        <v>120</v>
      </c>
      <c r="Z14" s="54">
        <f>ROUND(IF(AQ14="5",BJ14,0),2)</f>
        <v>0</v>
      </c>
      <c r="AB14" s="54">
        <f>ROUND(IF(AQ14="1",BH14,0),2)</f>
        <v>0</v>
      </c>
      <c r="AC14" s="54">
        <f>ROUND(IF(AQ14="1",BI14,0),2)</f>
        <v>0</v>
      </c>
      <c r="AD14" s="54">
        <f>ROUND(IF(AQ14="7",BH14,0),2)</f>
        <v>0</v>
      </c>
      <c r="AE14" s="54">
        <f>ROUND(IF(AQ14="7",BI14,0),2)</f>
        <v>0</v>
      </c>
      <c r="AF14" s="54">
        <f>ROUND(IF(AQ14="2",BH14,0),2)</f>
        <v>0</v>
      </c>
      <c r="AG14" s="54">
        <f>ROUND(IF(AQ14="2",BI14,0),2)</f>
        <v>0</v>
      </c>
      <c r="AH14" s="54">
        <f>ROUND(IF(AQ14="0",BJ14,0),2)</f>
        <v>0</v>
      </c>
      <c r="AI14" s="34" t="s">
        <v>107</v>
      </c>
      <c r="AJ14" s="54">
        <f>IF(AN14=0,J14,0)</f>
        <v>0</v>
      </c>
      <c r="AK14" s="54">
        <f>IF(AN14=0,J14,0)</f>
        <v>0</v>
      </c>
      <c r="AL14" s="54">
        <f>IF(AN14=21,J14,0)</f>
        <v>0</v>
      </c>
      <c r="AN14" s="54">
        <v>21</v>
      </c>
      <c r="AO14" s="54">
        <f>G14*1</f>
        <v>0</v>
      </c>
      <c r="AP14" s="54">
        <f>G14*(1-1)</f>
        <v>0</v>
      </c>
      <c r="AQ14" s="57" t="s">
        <v>194</v>
      </c>
      <c r="AV14" s="54">
        <f>ROUND(AW14+AX14,2)</f>
        <v>0</v>
      </c>
      <c r="AW14" s="54">
        <f>ROUND(F14*AO14,2)</f>
        <v>0</v>
      </c>
      <c r="AX14" s="54">
        <f>ROUND(F14*AP14,2)</f>
        <v>0</v>
      </c>
      <c r="AY14" s="57" t="s">
        <v>195</v>
      </c>
      <c r="AZ14" s="57" t="s">
        <v>196</v>
      </c>
      <c r="BA14" s="34" t="s">
        <v>114</v>
      </c>
      <c r="BC14" s="54">
        <f>AW14+AX14</f>
        <v>0</v>
      </c>
      <c r="BD14" s="54">
        <f>G14/(100-BE14)*100</f>
        <v>0</v>
      </c>
      <c r="BE14" s="54">
        <v>0</v>
      </c>
      <c r="BF14" s="54">
        <f>14</f>
        <v>14</v>
      </c>
      <c r="BH14" s="54">
        <f>F14*AO14</f>
        <v>0</v>
      </c>
      <c r="BI14" s="54">
        <f>F14*AP14</f>
        <v>0</v>
      </c>
      <c r="BJ14" s="54">
        <f>F14*G14</f>
        <v>0</v>
      </c>
      <c r="BK14" s="57" t="s">
        <v>190</v>
      </c>
      <c r="BL14" s="54"/>
      <c r="BW14" s="54">
        <v>21</v>
      </c>
      <c r="BX14" s="3" t="s">
        <v>193</v>
      </c>
    </row>
    <row r="15" spans="1:76" x14ac:dyDescent="0.25">
      <c r="A15" s="60" t="s">
        <v>4</v>
      </c>
      <c r="B15" s="61" t="s">
        <v>4</v>
      </c>
      <c r="C15" s="167" t="s">
        <v>197</v>
      </c>
      <c r="D15" s="168"/>
      <c r="E15" s="62" t="s">
        <v>69</v>
      </c>
      <c r="F15" s="62" t="s">
        <v>69</v>
      </c>
      <c r="G15" s="62" t="s">
        <v>69</v>
      </c>
      <c r="H15" s="63">
        <f>H16</f>
        <v>0</v>
      </c>
      <c r="I15" s="63">
        <f>I16</f>
        <v>0</v>
      </c>
      <c r="J15" s="63">
        <f>J16</f>
        <v>0</v>
      </c>
      <c r="K15" s="64" t="s">
        <v>4</v>
      </c>
    </row>
    <row r="16" spans="1:76" x14ac:dyDescent="0.25">
      <c r="A16" s="49" t="s">
        <v>4</v>
      </c>
      <c r="B16" s="50" t="s">
        <v>127</v>
      </c>
      <c r="C16" s="161" t="s">
        <v>128</v>
      </c>
      <c r="D16" s="162"/>
      <c r="E16" s="51" t="s">
        <v>69</v>
      </c>
      <c r="F16" s="51" t="s">
        <v>69</v>
      </c>
      <c r="G16" s="51" t="s">
        <v>69</v>
      </c>
      <c r="H16" s="28">
        <f>SUM(H17:H18)</f>
        <v>0</v>
      </c>
      <c r="I16" s="28">
        <f>SUM(I17:I18)</f>
        <v>0</v>
      </c>
      <c r="J16" s="28">
        <f>SUM(J17:J18)</f>
        <v>0</v>
      </c>
      <c r="K16" s="53" t="s">
        <v>4</v>
      </c>
      <c r="AI16" s="34" t="s">
        <v>198</v>
      </c>
      <c r="AS16" s="28">
        <f>SUM(AJ17:AJ18)</f>
        <v>0</v>
      </c>
      <c r="AT16" s="28">
        <f>SUM(AK17:AK18)</f>
        <v>0</v>
      </c>
      <c r="AU16" s="28">
        <f>SUM(AL17:AL18)</f>
        <v>0</v>
      </c>
    </row>
    <row r="17" spans="1:76" x14ac:dyDescent="0.25">
      <c r="A17" s="1" t="s">
        <v>116</v>
      </c>
      <c r="B17" s="2" t="s">
        <v>208</v>
      </c>
      <c r="C17" s="83" t="s">
        <v>209</v>
      </c>
      <c r="D17" s="78"/>
      <c r="E17" s="2" t="s">
        <v>210</v>
      </c>
      <c r="F17" s="54">
        <f>'Stavební rozpočet'!F46</f>
        <v>263</v>
      </c>
      <c r="G17" s="54">
        <f>'Stavební rozpočet'!G46</f>
        <v>0</v>
      </c>
      <c r="H17" s="54">
        <f>ROUND(F17*AO17,2)</f>
        <v>0</v>
      </c>
      <c r="I17" s="54">
        <f>ROUND(F17*AP17,2)</f>
        <v>0</v>
      </c>
      <c r="J17" s="54">
        <f>ROUND(F17*G17,2)</f>
        <v>0</v>
      </c>
      <c r="K17" s="56" t="s">
        <v>4</v>
      </c>
      <c r="Z17" s="54">
        <f>ROUND(IF(AQ17="5",BJ17,0),2)</f>
        <v>0</v>
      </c>
      <c r="AB17" s="54">
        <f>ROUND(IF(AQ17="1",BH17,0),2)</f>
        <v>0</v>
      </c>
      <c r="AC17" s="54">
        <f>ROUND(IF(AQ17="1",BI17,0),2)</f>
        <v>0</v>
      </c>
      <c r="AD17" s="54">
        <f>ROUND(IF(AQ17="7",BH17,0),2)</f>
        <v>0</v>
      </c>
      <c r="AE17" s="54">
        <f>ROUND(IF(AQ17="7",BI17,0),2)</f>
        <v>0</v>
      </c>
      <c r="AF17" s="54">
        <f>ROUND(IF(AQ17="2",BH17,0),2)</f>
        <v>0</v>
      </c>
      <c r="AG17" s="54">
        <f>ROUND(IF(AQ17="2",BI17,0),2)</f>
        <v>0</v>
      </c>
      <c r="AH17" s="54">
        <f>ROUND(IF(AQ17="0",BJ17,0),2)</f>
        <v>0</v>
      </c>
      <c r="AI17" s="34" t="s">
        <v>198</v>
      </c>
      <c r="AJ17" s="54">
        <f>IF(AN17=0,J17,0)</f>
        <v>0</v>
      </c>
      <c r="AK17" s="54">
        <f>IF(AN17=0,J17,0)</f>
        <v>0</v>
      </c>
      <c r="AL17" s="54">
        <f>IF(AN17=21,J17,0)</f>
        <v>0</v>
      </c>
      <c r="AN17" s="54">
        <v>21</v>
      </c>
      <c r="AO17" s="54">
        <f>G17*1</f>
        <v>0</v>
      </c>
      <c r="AP17" s="54">
        <f>G17*(1-1)</f>
        <v>0</v>
      </c>
      <c r="AQ17" s="57" t="s">
        <v>108</v>
      </c>
      <c r="AV17" s="54">
        <f>ROUND(AW17+AX17,2)</f>
        <v>0</v>
      </c>
      <c r="AW17" s="54">
        <f>ROUND(F17*AO17,2)</f>
        <v>0</v>
      </c>
      <c r="AX17" s="54">
        <f>ROUND(F17*AP17,2)</f>
        <v>0</v>
      </c>
      <c r="AY17" s="57" t="s">
        <v>132</v>
      </c>
      <c r="AZ17" s="57" t="s">
        <v>202</v>
      </c>
      <c r="BA17" s="34" t="s">
        <v>203</v>
      </c>
      <c r="BC17" s="54">
        <f>AW17+AX17</f>
        <v>0</v>
      </c>
      <c r="BD17" s="54">
        <f>G17/(100-BE17)*100</f>
        <v>0</v>
      </c>
      <c r="BE17" s="54">
        <v>0</v>
      </c>
      <c r="BF17" s="54">
        <f>17</f>
        <v>17</v>
      </c>
      <c r="BH17" s="54">
        <f>F17*AO17</f>
        <v>0</v>
      </c>
      <c r="BI17" s="54">
        <f>F17*AP17</f>
        <v>0</v>
      </c>
      <c r="BJ17" s="54">
        <f>F17*G17</f>
        <v>0</v>
      </c>
      <c r="BK17" s="57" t="s">
        <v>190</v>
      </c>
      <c r="BL17" s="54">
        <v>11</v>
      </c>
      <c r="BW17" s="54">
        <v>21</v>
      </c>
      <c r="BX17" s="3" t="s">
        <v>209</v>
      </c>
    </row>
    <row r="18" spans="1:76" x14ac:dyDescent="0.25">
      <c r="A18" s="1" t="s">
        <v>121</v>
      </c>
      <c r="B18" s="2" t="s">
        <v>212</v>
      </c>
      <c r="C18" s="83" t="s">
        <v>213</v>
      </c>
      <c r="D18" s="78"/>
      <c r="E18" s="2" t="s">
        <v>214</v>
      </c>
      <c r="F18" s="54">
        <f>'Stavební rozpočet'!F47</f>
        <v>526</v>
      </c>
      <c r="G18" s="54">
        <f>'Stavební rozpočet'!G47</f>
        <v>0</v>
      </c>
      <c r="H18" s="54">
        <f>ROUND(F18*AO18,2)</f>
        <v>0</v>
      </c>
      <c r="I18" s="54">
        <f>ROUND(F18*AP18,2)</f>
        <v>0</v>
      </c>
      <c r="J18" s="54">
        <f>ROUND(F18*G18,2)</f>
        <v>0</v>
      </c>
      <c r="K18" s="56" t="s">
        <v>4</v>
      </c>
      <c r="Z18" s="54">
        <f>ROUND(IF(AQ18="5",BJ18,0),2)</f>
        <v>0</v>
      </c>
      <c r="AB18" s="54">
        <f>ROUND(IF(AQ18="1",BH18,0),2)</f>
        <v>0</v>
      </c>
      <c r="AC18" s="54">
        <f>ROUND(IF(AQ18="1",BI18,0),2)</f>
        <v>0</v>
      </c>
      <c r="AD18" s="54">
        <f>ROUND(IF(AQ18="7",BH18,0),2)</f>
        <v>0</v>
      </c>
      <c r="AE18" s="54">
        <f>ROUND(IF(AQ18="7",BI18,0),2)</f>
        <v>0</v>
      </c>
      <c r="AF18" s="54">
        <f>ROUND(IF(AQ18="2",BH18,0),2)</f>
        <v>0</v>
      </c>
      <c r="AG18" s="54">
        <f>ROUND(IF(AQ18="2",BI18,0),2)</f>
        <v>0</v>
      </c>
      <c r="AH18" s="54">
        <f>ROUND(IF(AQ18="0",BJ18,0),2)</f>
        <v>0</v>
      </c>
      <c r="AI18" s="34" t="s">
        <v>198</v>
      </c>
      <c r="AJ18" s="54">
        <f>IF(AN18=0,J18,0)</f>
        <v>0</v>
      </c>
      <c r="AK18" s="54">
        <f>IF(AN18=0,J18,0)</f>
        <v>0</v>
      </c>
      <c r="AL18" s="54">
        <f>IF(AN18=21,J18,0)</f>
        <v>0</v>
      </c>
      <c r="AN18" s="54">
        <v>21</v>
      </c>
      <c r="AO18" s="54">
        <f>G18*1</f>
        <v>0</v>
      </c>
      <c r="AP18" s="54">
        <f>G18*(1-1)</f>
        <v>0</v>
      </c>
      <c r="AQ18" s="57" t="s">
        <v>108</v>
      </c>
      <c r="AV18" s="54">
        <f>ROUND(AW18+AX18,2)</f>
        <v>0</v>
      </c>
      <c r="AW18" s="54">
        <f>ROUND(F18*AO18,2)</f>
        <v>0</v>
      </c>
      <c r="AX18" s="54">
        <f>ROUND(F18*AP18,2)</f>
        <v>0</v>
      </c>
      <c r="AY18" s="57" t="s">
        <v>132</v>
      </c>
      <c r="AZ18" s="57" t="s">
        <v>202</v>
      </c>
      <c r="BA18" s="34" t="s">
        <v>203</v>
      </c>
      <c r="BC18" s="54">
        <f>AW18+AX18</f>
        <v>0</v>
      </c>
      <c r="BD18" s="54">
        <f>G18/(100-BE18)*100</f>
        <v>0</v>
      </c>
      <c r="BE18" s="54">
        <v>0</v>
      </c>
      <c r="BF18" s="54">
        <f>18</f>
        <v>18</v>
      </c>
      <c r="BH18" s="54">
        <f>F18*AO18</f>
        <v>0</v>
      </c>
      <c r="BI18" s="54">
        <f>F18*AP18</f>
        <v>0</v>
      </c>
      <c r="BJ18" s="54">
        <f>F18*G18</f>
        <v>0</v>
      </c>
      <c r="BK18" s="57" t="s">
        <v>190</v>
      </c>
      <c r="BL18" s="54">
        <v>11</v>
      </c>
      <c r="BW18" s="54">
        <v>21</v>
      </c>
      <c r="BX18" s="3" t="s">
        <v>213</v>
      </c>
    </row>
    <row r="19" spans="1:76" x14ac:dyDescent="0.25">
      <c r="A19" s="60" t="s">
        <v>4</v>
      </c>
      <c r="B19" s="61" t="s">
        <v>4</v>
      </c>
      <c r="C19" s="167" t="s">
        <v>221</v>
      </c>
      <c r="D19" s="168"/>
      <c r="E19" s="62" t="s">
        <v>69</v>
      </c>
      <c r="F19" s="62" t="s">
        <v>69</v>
      </c>
      <c r="G19" s="62" t="s">
        <v>69</v>
      </c>
      <c r="H19" s="63">
        <f>H20</f>
        <v>0</v>
      </c>
      <c r="I19" s="63">
        <f>I20</f>
        <v>0</v>
      </c>
      <c r="J19" s="63">
        <f>J20</f>
        <v>0</v>
      </c>
      <c r="K19" s="64" t="s">
        <v>4</v>
      </c>
    </row>
    <row r="20" spans="1:76" x14ac:dyDescent="0.25">
      <c r="A20" s="49" t="s">
        <v>4</v>
      </c>
      <c r="B20" s="50" t="s">
        <v>190</v>
      </c>
      <c r="C20" s="161" t="s">
        <v>40</v>
      </c>
      <c r="D20" s="162"/>
      <c r="E20" s="51" t="s">
        <v>69</v>
      </c>
      <c r="F20" s="51" t="s">
        <v>69</v>
      </c>
      <c r="G20" s="51" t="s">
        <v>69</v>
      </c>
      <c r="H20" s="28">
        <f>SUM(H21:H28)</f>
        <v>0</v>
      </c>
      <c r="I20" s="28">
        <f>SUM(I21:I28)</f>
        <v>0</v>
      </c>
      <c r="J20" s="28">
        <f>SUM(J21:J28)</f>
        <v>0</v>
      </c>
      <c r="K20" s="53" t="s">
        <v>4</v>
      </c>
      <c r="AI20" s="34" t="s">
        <v>224</v>
      </c>
      <c r="AS20" s="28">
        <f>SUM(AJ21:AJ28)</f>
        <v>0</v>
      </c>
      <c r="AT20" s="28">
        <f>SUM(AK21:AK28)</f>
        <v>0</v>
      </c>
      <c r="AU20" s="28">
        <f>SUM(AL21:AL28)</f>
        <v>0</v>
      </c>
    </row>
    <row r="21" spans="1:76" x14ac:dyDescent="0.25">
      <c r="A21" s="1" t="s">
        <v>124</v>
      </c>
      <c r="B21" s="2" t="s">
        <v>264</v>
      </c>
      <c r="C21" s="83" t="s">
        <v>265</v>
      </c>
      <c r="D21" s="78"/>
      <c r="E21" s="2" t="s">
        <v>214</v>
      </c>
      <c r="F21" s="54">
        <f>'Stavební rozpočet'!F65</f>
        <v>36</v>
      </c>
      <c r="G21" s="54">
        <f>'Stavební rozpočet'!G65</f>
        <v>0</v>
      </c>
      <c r="H21" s="54">
        <f t="shared" ref="H21:H28" si="0">ROUND(F21*AO21,2)</f>
        <v>0</v>
      </c>
      <c r="I21" s="54">
        <f t="shared" ref="I21:I28" si="1">ROUND(F21*AP21,2)</f>
        <v>0</v>
      </c>
      <c r="J21" s="54">
        <f t="shared" ref="J21:J28" si="2">ROUND(F21*G21,2)</f>
        <v>0</v>
      </c>
      <c r="K21" s="56" t="s">
        <v>120</v>
      </c>
      <c r="Z21" s="54">
        <f t="shared" ref="Z21:Z28" si="3">ROUND(IF(AQ21="5",BJ21,0),2)</f>
        <v>0</v>
      </c>
      <c r="AB21" s="54">
        <f t="shared" ref="AB21:AB28" si="4">ROUND(IF(AQ21="1",BH21,0),2)</f>
        <v>0</v>
      </c>
      <c r="AC21" s="54">
        <f t="shared" ref="AC21:AC28" si="5">ROUND(IF(AQ21="1",BI21,0),2)</f>
        <v>0</v>
      </c>
      <c r="AD21" s="54">
        <f t="shared" ref="AD21:AD28" si="6">ROUND(IF(AQ21="7",BH21,0),2)</f>
        <v>0</v>
      </c>
      <c r="AE21" s="54">
        <f t="shared" ref="AE21:AE28" si="7">ROUND(IF(AQ21="7",BI21,0),2)</f>
        <v>0</v>
      </c>
      <c r="AF21" s="54">
        <f t="shared" ref="AF21:AF28" si="8">ROUND(IF(AQ21="2",BH21,0),2)</f>
        <v>0</v>
      </c>
      <c r="AG21" s="54">
        <f t="shared" ref="AG21:AG28" si="9">ROUND(IF(AQ21="2",BI21,0),2)</f>
        <v>0</v>
      </c>
      <c r="AH21" s="54">
        <f t="shared" ref="AH21:AH28" si="10">ROUND(IF(AQ21="0",BJ21,0),2)</f>
        <v>0</v>
      </c>
      <c r="AI21" s="34" t="s">
        <v>224</v>
      </c>
      <c r="AJ21" s="54">
        <f t="shared" ref="AJ21:AJ28" si="11">IF(AN21=0,J21,0)</f>
        <v>0</v>
      </c>
      <c r="AK21" s="54">
        <f t="shared" ref="AK21:AK28" si="12">IF(AN21=0,J21,0)</f>
        <v>0</v>
      </c>
      <c r="AL21" s="54">
        <f t="shared" ref="AL21:AL28" si="13">IF(AN21=21,J21,0)</f>
        <v>0</v>
      </c>
      <c r="AN21" s="54">
        <v>21</v>
      </c>
      <c r="AO21" s="54">
        <f t="shared" ref="AO21:AO28" si="14">G21*1</f>
        <v>0</v>
      </c>
      <c r="AP21" s="54">
        <f t="shared" ref="AP21:AP28" si="15">G21*(1-1)</f>
        <v>0</v>
      </c>
      <c r="AQ21" s="57" t="s">
        <v>194</v>
      </c>
      <c r="AV21" s="54">
        <f t="shared" ref="AV21:AV28" si="16">ROUND(AW21+AX21,2)</f>
        <v>0</v>
      </c>
      <c r="AW21" s="54">
        <f t="shared" ref="AW21:AW28" si="17">ROUND(F21*AO21,2)</f>
        <v>0</v>
      </c>
      <c r="AX21" s="54">
        <f t="shared" ref="AX21:AX28" si="18">ROUND(F21*AP21,2)</f>
        <v>0</v>
      </c>
      <c r="AY21" s="57" t="s">
        <v>195</v>
      </c>
      <c r="AZ21" s="57" t="s">
        <v>266</v>
      </c>
      <c r="BA21" s="34" t="s">
        <v>231</v>
      </c>
      <c r="BC21" s="54">
        <f t="shared" ref="BC21:BC28" si="19">AW21+AX21</f>
        <v>0</v>
      </c>
      <c r="BD21" s="54">
        <f t="shared" ref="BD21:BD28" si="20">G21/(100-BE21)*100</f>
        <v>0</v>
      </c>
      <c r="BE21" s="54">
        <v>0</v>
      </c>
      <c r="BF21" s="54">
        <f>21</f>
        <v>21</v>
      </c>
      <c r="BH21" s="54">
        <f t="shared" ref="BH21:BH28" si="21">F21*AO21</f>
        <v>0</v>
      </c>
      <c r="BI21" s="54">
        <f t="shared" ref="BI21:BI28" si="22">F21*AP21</f>
        <v>0</v>
      </c>
      <c r="BJ21" s="54">
        <f t="shared" ref="BJ21:BJ28" si="23">F21*G21</f>
        <v>0</v>
      </c>
      <c r="BK21" s="57" t="s">
        <v>190</v>
      </c>
      <c r="BL21" s="54"/>
      <c r="BW21" s="54">
        <v>21</v>
      </c>
      <c r="BX21" s="3" t="s">
        <v>265</v>
      </c>
    </row>
    <row r="22" spans="1:76" x14ac:dyDescent="0.25">
      <c r="A22" s="1" t="s">
        <v>129</v>
      </c>
      <c r="B22" s="2" t="s">
        <v>268</v>
      </c>
      <c r="C22" s="83" t="s">
        <v>269</v>
      </c>
      <c r="D22" s="78"/>
      <c r="E22" s="2" t="s">
        <v>214</v>
      </c>
      <c r="F22" s="54">
        <f>'Stavební rozpočet'!F66</f>
        <v>3</v>
      </c>
      <c r="G22" s="54">
        <f>'Stavební rozpočet'!G66</f>
        <v>0</v>
      </c>
      <c r="H22" s="54">
        <f t="shared" si="0"/>
        <v>0</v>
      </c>
      <c r="I22" s="54">
        <f t="shared" si="1"/>
        <v>0</v>
      </c>
      <c r="J22" s="54">
        <f t="shared" si="2"/>
        <v>0</v>
      </c>
      <c r="K22" s="56" t="s">
        <v>120</v>
      </c>
      <c r="Z22" s="54">
        <f t="shared" si="3"/>
        <v>0</v>
      </c>
      <c r="AB22" s="54">
        <f t="shared" si="4"/>
        <v>0</v>
      </c>
      <c r="AC22" s="54">
        <f t="shared" si="5"/>
        <v>0</v>
      </c>
      <c r="AD22" s="54">
        <f t="shared" si="6"/>
        <v>0</v>
      </c>
      <c r="AE22" s="54">
        <f t="shared" si="7"/>
        <v>0</v>
      </c>
      <c r="AF22" s="54">
        <f t="shared" si="8"/>
        <v>0</v>
      </c>
      <c r="AG22" s="54">
        <f t="shared" si="9"/>
        <v>0</v>
      </c>
      <c r="AH22" s="54">
        <f t="shared" si="10"/>
        <v>0</v>
      </c>
      <c r="AI22" s="34" t="s">
        <v>224</v>
      </c>
      <c r="AJ22" s="54">
        <f t="shared" si="11"/>
        <v>0</v>
      </c>
      <c r="AK22" s="54">
        <f t="shared" si="12"/>
        <v>0</v>
      </c>
      <c r="AL22" s="54">
        <f t="shared" si="13"/>
        <v>0</v>
      </c>
      <c r="AN22" s="54">
        <v>21</v>
      </c>
      <c r="AO22" s="54">
        <f t="shared" si="14"/>
        <v>0</v>
      </c>
      <c r="AP22" s="54">
        <f t="shared" si="15"/>
        <v>0</v>
      </c>
      <c r="AQ22" s="57" t="s">
        <v>194</v>
      </c>
      <c r="AV22" s="54">
        <f t="shared" si="16"/>
        <v>0</v>
      </c>
      <c r="AW22" s="54">
        <f t="shared" si="17"/>
        <v>0</v>
      </c>
      <c r="AX22" s="54">
        <f t="shared" si="18"/>
        <v>0</v>
      </c>
      <c r="AY22" s="57" t="s">
        <v>195</v>
      </c>
      <c r="AZ22" s="57" t="s">
        <v>266</v>
      </c>
      <c r="BA22" s="34" t="s">
        <v>231</v>
      </c>
      <c r="BC22" s="54">
        <f t="shared" si="19"/>
        <v>0</v>
      </c>
      <c r="BD22" s="54">
        <f t="shared" si="20"/>
        <v>0</v>
      </c>
      <c r="BE22" s="54">
        <v>0</v>
      </c>
      <c r="BF22" s="54">
        <f>22</f>
        <v>22</v>
      </c>
      <c r="BH22" s="54">
        <f t="shared" si="21"/>
        <v>0</v>
      </c>
      <c r="BI22" s="54">
        <f t="shared" si="22"/>
        <v>0</v>
      </c>
      <c r="BJ22" s="54">
        <f t="shared" si="23"/>
        <v>0</v>
      </c>
      <c r="BK22" s="57" t="s">
        <v>190</v>
      </c>
      <c r="BL22" s="54"/>
      <c r="BW22" s="54">
        <v>21</v>
      </c>
      <c r="BX22" s="3" t="s">
        <v>269</v>
      </c>
    </row>
    <row r="23" spans="1:76" x14ac:dyDescent="0.25">
      <c r="A23" s="1" t="s">
        <v>133</v>
      </c>
      <c r="B23" s="2" t="s">
        <v>271</v>
      </c>
      <c r="C23" s="83" t="s">
        <v>272</v>
      </c>
      <c r="D23" s="78"/>
      <c r="E23" s="2" t="s">
        <v>214</v>
      </c>
      <c r="F23" s="54">
        <f>'Stavební rozpočet'!F67</f>
        <v>3</v>
      </c>
      <c r="G23" s="54">
        <f>'Stavební rozpočet'!G67</f>
        <v>0</v>
      </c>
      <c r="H23" s="54">
        <f t="shared" si="0"/>
        <v>0</v>
      </c>
      <c r="I23" s="54">
        <f t="shared" si="1"/>
        <v>0</v>
      </c>
      <c r="J23" s="54">
        <f t="shared" si="2"/>
        <v>0</v>
      </c>
      <c r="K23" s="56" t="s">
        <v>120</v>
      </c>
      <c r="Z23" s="54">
        <f t="shared" si="3"/>
        <v>0</v>
      </c>
      <c r="AB23" s="54">
        <f t="shared" si="4"/>
        <v>0</v>
      </c>
      <c r="AC23" s="54">
        <f t="shared" si="5"/>
        <v>0</v>
      </c>
      <c r="AD23" s="54">
        <f t="shared" si="6"/>
        <v>0</v>
      </c>
      <c r="AE23" s="54">
        <f t="shared" si="7"/>
        <v>0</v>
      </c>
      <c r="AF23" s="54">
        <f t="shared" si="8"/>
        <v>0</v>
      </c>
      <c r="AG23" s="54">
        <f t="shared" si="9"/>
        <v>0</v>
      </c>
      <c r="AH23" s="54">
        <f t="shared" si="10"/>
        <v>0</v>
      </c>
      <c r="AI23" s="34" t="s">
        <v>224</v>
      </c>
      <c r="AJ23" s="54">
        <f t="shared" si="11"/>
        <v>0</v>
      </c>
      <c r="AK23" s="54">
        <f t="shared" si="12"/>
        <v>0</v>
      </c>
      <c r="AL23" s="54">
        <f t="shared" si="13"/>
        <v>0</v>
      </c>
      <c r="AN23" s="54">
        <v>21</v>
      </c>
      <c r="AO23" s="54">
        <f t="shared" si="14"/>
        <v>0</v>
      </c>
      <c r="AP23" s="54">
        <f t="shared" si="15"/>
        <v>0</v>
      </c>
      <c r="AQ23" s="57" t="s">
        <v>194</v>
      </c>
      <c r="AV23" s="54">
        <f t="shared" si="16"/>
        <v>0</v>
      </c>
      <c r="AW23" s="54">
        <f t="shared" si="17"/>
        <v>0</v>
      </c>
      <c r="AX23" s="54">
        <f t="shared" si="18"/>
        <v>0</v>
      </c>
      <c r="AY23" s="57" t="s">
        <v>195</v>
      </c>
      <c r="AZ23" s="57" t="s">
        <v>266</v>
      </c>
      <c r="BA23" s="34" t="s">
        <v>231</v>
      </c>
      <c r="BC23" s="54">
        <f t="shared" si="19"/>
        <v>0</v>
      </c>
      <c r="BD23" s="54">
        <f t="shared" si="20"/>
        <v>0</v>
      </c>
      <c r="BE23" s="54">
        <v>0</v>
      </c>
      <c r="BF23" s="54">
        <f>23</f>
        <v>23</v>
      </c>
      <c r="BH23" s="54">
        <f t="shared" si="21"/>
        <v>0</v>
      </c>
      <c r="BI23" s="54">
        <f t="shared" si="22"/>
        <v>0</v>
      </c>
      <c r="BJ23" s="54">
        <f t="shared" si="23"/>
        <v>0</v>
      </c>
      <c r="BK23" s="57" t="s">
        <v>190</v>
      </c>
      <c r="BL23" s="54"/>
      <c r="BW23" s="54">
        <v>21</v>
      </c>
      <c r="BX23" s="3" t="s">
        <v>272</v>
      </c>
    </row>
    <row r="24" spans="1:76" ht="25.5" x14ac:dyDescent="0.25">
      <c r="A24" s="1" t="s">
        <v>137</v>
      </c>
      <c r="B24" s="2" t="s">
        <v>274</v>
      </c>
      <c r="C24" s="83" t="s">
        <v>275</v>
      </c>
      <c r="D24" s="78"/>
      <c r="E24" s="2" t="s">
        <v>276</v>
      </c>
      <c r="F24" s="54">
        <f>'Stavební rozpočet'!F68</f>
        <v>1.5</v>
      </c>
      <c r="G24" s="54">
        <f>'Stavební rozpočet'!G68</f>
        <v>0</v>
      </c>
      <c r="H24" s="54">
        <f t="shared" si="0"/>
        <v>0</v>
      </c>
      <c r="I24" s="54">
        <f t="shared" si="1"/>
        <v>0</v>
      </c>
      <c r="J24" s="54">
        <f t="shared" si="2"/>
        <v>0</v>
      </c>
      <c r="K24" s="56" t="s">
        <v>120</v>
      </c>
      <c r="Z24" s="54">
        <f t="shared" si="3"/>
        <v>0</v>
      </c>
      <c r="AB24" s="54">
        <f t="shared" si="4"/>
        <v>0</v>
      </c>
      <c r="AC24" s="54">
        <f t="shared" si="5"/>
        <v>0</v>
      </c>
      <c r="AD24" s="54">
        <f t="shared" si="6"/>
        <v>0</v>
      </c>
      <c r="AE24" s="54">
        <f t="shared" si="7"/>
        <v>0</v>
      </c>
      <c r="AF24" s="54">
        <f t="shared" si="8"/>
        <v>0</v>
      </c>
      <c r="AG24" s="54">
        <f t="shared" si="9"/>
        <v>0</v>
      </c>
      <c r="AH24" s="54">
        <f t="shared" si="10"/>
        <v>0</v>
      </c>
      <c r="AI24" s="34" t="s">
        <v>224</v>
      </c>
      <c r="AJ24" s="54">
        <f t="shared" si="11"/>
        <v>0</v>
      </c>
      <c r="AK24" s="54">
        <f t="shared" si="12"/>
        <v>0</v>
      </c>
      <c r="AL24" s="54">
        <f t="shared" si="13"/>
        <v>0</v>
      </c>
      <c r="AN24" s="54">
        <v>21</v>
      </c>
      <c r="AO24" s="54">
        <f t="shared" si="14"/>
        <v>0</v>
      </c>
      <c r="AP24" s="54">
        <f t="shared" si="15"/>
        <v>0</v>
      </c>
      <c r="AQ24" s="57" t="s">
        <v>194</v>
      </c>
      <c r="AV24" s="54">
        <f t="shared" si="16"/>
        <v>0</v>
      </c>
      <c r="AW24" s="54">
        <f t="shared" si="17"/>
        <v>0</v>
      </c>
      <c r="AX24" s="54">
        <f t="shared" si="18"/>
        <v>0</v>
      </c>
      <c r="AY24" s="57" t="s">
        <v>195</v>
      </c>
      <c r="AZ24" s="57" t="s">
        <v>266</v>
      </c>
      <c r="BA24" s="34" t="s">
        <v>231</v>
      </c>
      <c r="BC24" s="54">
        <f t="shared" si="19"/>
        <v>0</v>
      </c>
      <c r="BD24" s="54">
        <f t="shared" si="20"/>
        <v>0</v>
      </c>
      <c r="BE24" s="54">
        <v>0</v>
      </c>
      <c r="BF24" s="54">
        <f>24</f>
        <v>24</v>
      </c>
      <c r="BH24" s="54">
        <f t="shared" si="21"/>
        <v>0</v>
      </c>
      <c r="BI24" s="54">
        <f t="shared" si="22"/>
        <v>0</v>
      </c>
      <c r="BJ24" s="54">
        <f t="shared" si="23"/>
        <v>0</v>
      </c>
      <c r="BK24" s="57" t="s">
        <v>190</v>
      </c>
      <c r="BL24" s="54"/>
      <c r="BW24" s="54">
        <v>21</v>
      </c>
      <c r="BX24" s="3" t="s">
        <v>275</v>
      </c>
    </row>
    <row r="25" spans="1:76" x14ac:dyDescent="0.25">
      <c r="A25" s="1" t="s">
        <v>142</v>
      </c>
      <c r="B25" s="2" t="s">
        <v>278</v>
      </c>
      <c r="C25" s="83" t="s">
        <v>279</v>
      </c>
      <c r="D25" s="78"/>
      <c r="E25" s="2" t="s">
        <v>177</v>
      </c>
      <c r="F25" s="54">
        <f>'Stavební rozpočet'!F69</f>
        <v>0.3</v>
      </c>
      <c r="G25" s="54">
        <f>'Stavební rozpočet'!G69</f>
        <v>0</v>
      </c>
      <c r="H25" s="54">
        <f t="shared" si="0"/>
        <v>0</v>
      </c>
      <c r="I25" s="54">
        <f t="shared" si="1"/>
        <v>0</v>
      </c>
      <c r="J25" s="54">
        <f t="shared" si="2"/>
        <v>0</v>
      </c>
      <c r="K25" s="56" t="s">
        <v>120</v>
      </c>
      <c r="Z25" s="54">
        <f t="shared" si="3"/>
        <v>0</v>
      </c>
      <c r="AB25" s="54">
        <f t="shared" si="4"/>
        <v>0</v>
      </c>
      <c r="AC25" s="54">
        <f t="shared" si="5"/>
        <v>0</v>
      </c>
      <c r="AD25" s="54">
        <f t="shared" si="6"/>
        <v>0</v>
      </c>
      <c r="AE25" s="54">
        <f t="shared" si="7"/>
        <v>0</v>
      </c>
      <c r="AF25" s="54">
        <f t="shared" si="8"/>
        <v>0</v>
      </c>
      <c r="AG25" s="54">
        <f t="shared" si="9"/>
        <v>0</v>
      </c>
      <c r="AH25" s="54">
        <f t="shared" si="10"/>
        <v>0</v>
      </c>
      <c r="AI25" s="34" t="s">
        <v>224</v>
      </c>
      <c r="AJ25" s="54">
        <f t="shared" si="11"/>
        <v>0</v>
      </c>
      <c r="AK25" s="54">
        <f t="shared" si="12"/>
        <v>0</v>
      </c>
      <c r="AL25" s="54">
        <f t="shared" si="13"/>
        <v>0</v>
      </c>
      <c r="AN25" s="54">
        <v>21</v>
      </c>
      <c r="AO25" s="54">
        <f t="shared" si="14"/>
        <v>0</v>
      </c>
      <c r="AP25" s="54">
        <f t="shared" si="15"/>
        <v>0</v>
      </c>
      <c r="AQ25" s="57" t="s">
        <v>194</v>
      </c>
      <c r="AV25" s="54">
        <f t="shared" si="16"/>
        <v>0</v>
      </c>
      <c r="AW25" s="54">
        <f t="shared" si="17"/>
        <v>0</v>
      </c>
      <c r="AX25" s="54">
        <f t="shared" si="18"/>
        <v>0</v>
      </c>
      <c r="AY25" s="57" t="s">
        <v>195</v>
      </c>
      <c r="AZ25" s="57" t="s">
        <v>266</v>
      </c>
      <c r="BA25" s="34" t="s">
        <v>231</v>
      </c>
      <c r="BC25" s="54">
        <f t="shared" si="19"/>
        <v>0</v>
      </c>
      <c r="BD25" s="54">
        <f t="shared" si="20"/>
        <v>0</v>
      </c>
      <c r="BE25" s="54">
        <v>0</v>
      </c>
      <c r="BF25" s="54">
        <f>25</f>
        <v>25</v>
      </c>
      <c r="BH25" s="54">
        <f t="shared" si="21"/>
        <v>0</v>
      </c>
      <c r="BI25" s="54">
        <f t="shared" si="22"/>
        <v>0</v>
      </c>
      <c r="BJ25" s="54">
        <f t="shared" si="23"/>
        <v>0</v>
      </c>
      <c r="BK25" s="57" t="s">
        <v>190</v>
      </c>
      <c r="BL25" s="54"/>
      <c r="BW25" s="54">
        <v>21</v>
      </c>
      <c r="BX25" s="3" t="s">
        <v>279</v>
      </c>
    </row>
    <row r="26" spans="1:76" x14ac:dyDescent="0.25">
      <c r="A26" s="1" t="s">
        <v>146</v>
      </c>
      <c r="B26" s="2" t="s">
        <v>281</v>
      </c>
      <c r="C26" s="83" t="s">
        <v>282</v>
      </c>
      <c r="D26" s="78"/>
      <c r="E26" s="2" t="s">
        <v>111</v>
      </c>
      <c r="F26" s="54">
        <f>'Stavební rozpočet'!F70</f>
        <v>3</v>
      </c>
      <c r="G26" s="54">
        <f>'Stavební rozpočet'!G70</f>
        <v>0</v>
      </c>
      <c r="H26" s="54">
        <f t="shared" si="0"/>
        <v>0</v>
      </c>
      <c r="I26" s="54">
        <f t="shared" si="1"/>
        <v>0</v>
      </c>
      <c r="J26" s="54">
        <f t="shared" si="2"/>
        <v>0</v>
      </c>
      <c r="K26" s="56" t="s">
        <v>4</v>
      </c>
      <c r="Z26" s="54">
        <f t="shared" si="3"/>
        <v>0</v>
      </c>
      <c r="AB26" s="54">
        <f t="shared" si="4"/>
        <v>0</v>
      </c>
      <c r="AC26" s="54">
        <f t="shared" si="5"/>
        <v>0</v>
      </c>
      <c r="AD26" s="54">
        <f t="shared" si="6"/>
        <v>0</v>
      </c>
      <c r="AE26" s="54">
        <f t="shared" si="7"/>
        <v>0</v>
      </c>
      <c r="AF26" s="54">
        <f t="shared" si="8"/>
        <v>0</v>
      </c>
      <c r="AG26" s="54">
        <f t="shared" si="9"/>
        <v>0</v>
      </c>
      <c r="AH26" s="54">
        <f t="shared" si="10"/>
        <v>0</v>
      </c>
      <c r="AI26" s="34" t="s">
        <v>224</v>
      </c>
      <c r="AJ26" s="54">
        <f t="shared" si="11"/>
        <v>0</v>
      </c>
      <c r="AK26" s="54">
        <f t="shared" si="12"/>
        <v>0</v>
      </c>
      <c r="AL26" s="54">
        <f t="shared" si="13"/>
        <v>0</v>
      </c>
      <c r="AN26" s="54">
        <v>21</v>
      </c>
      <c r="AO26" s="54">
        <f t="shared" si="14"/>
        <v>0</v>
      </c>
      <c r="AP26" s="54">
        <f t="shared" si="15"/>
        <v>0</v>
      </c>
      <c r="AQ26" s="57" t="s">
        <v>194</v>
      </c>
      <c r="AV26" s="54">
        <f t="shared" si="16"/>
        <v>0</v>
      </c>
      <c r="AW26" s="54">
        <f t="shared" si="17"/>
        <v>0</v>
      </c>
      <c r="AX26" s="54">
        <f t="shared" si="18"/>
        <v>0</v>
      </c>
      <c r="AY26" s="57" t="s">
        <v>195</v>
      </c>
      <c r="AZ26" s="57" t="s">
        <v>266</v>
      </c>
      <c r="BA26" s="34" t="s">
        <v>231</v>
      </c>
      <c r="BC26" s="54">
        <f t="shared" si="19"/>
        <v>0</v>
      </c>
      <c r="BD26" s="54">
        <f t="shared" si="20"/>
        <v>0</v>
      </c>
      <c r="BE26" s="54">
        <v>0</v>
      </c>
      <c r="BF26" s="54">
        <f>26</f>
        <v>26</v>
      </c>
      <c r="BH26" s="54">
        <f t="shared" si="21"/>
        <v>0</v>
      </c>
      <c r="BI26" s="54">
        <f t="shared" si="22"/>
        <v>0</v>
      </c>
      <c r="BJ26" s="54">
        <f t="shared" si="23"/>
        <v>0</v>
      </c>
      <c r="BK26" s="57" t="s">
        <v>190</v>
      </c>
      <c r="BL26" s="54"/>
      <c r="BW26" s="54">
        <v>21</v>
      </c>
      <c r="BX26" s="3" t="s">
        <v>282</v>
      </c>
    </row>
    <row r="27" spans="1:76" x14ac:dyDescent="0.25">
      <c r="A27" s="1" t="s">
        <v>149</v>
      </c>
      <c r="B27" s="2" t="s">
        <v>284</v>
      </c>
      <c r="C27" s="83" t="s">
        <v>285</v>
      </c>
      <c r="D27" s="78"/>
      <c r="E27" s="2" t="s">
        <v>111</v>
      </c>
      <c r="F27" s="54">
        <f>'Stavební rozpočet'!F71</f>
        <v>12</v>
      </c>
      <c r="G27" s="54">
        <f>'Stavební rozpočet'!G71</f>
        <v>0</v>
      </c>
      <c r="H27" s="54">
        <f t="shared" si="0"/>
        <v>0</v>
      </c>
      <c r="I27" s="54">
        <f t="shared" si="1"/>
        <v>0</v>
      </c>
      <c r="J27" s="54">
        <f t="shared" si="2"/>
        <v>0</v>
      </c>
      <c r="K27" s="56" t="s">
        <v>120</v>
      </c>
      <c r="Z27" s="54">
        <f t="shared" si="3"/>
        <v>0</v>
      </c>
      <c r="AB27" s="54">
        <f t="shared" si="4"/>
        <v>0</v>
      </c>
      <c r="AC27" s="54">
        <f t="shared" si="5"/>
        <v>0</v>
      </c>
      <c r="AD27" s="54">
        <f t="shared" si="6"/>
        <v>0</v>
      </c>
      <c r="AE27" s="54">
        <f t="shared" si="7"/>
        <v>0</v>
      </c>
      <c r="AF27" s="54">
        <f t="shared" si="8"/>
        <v>0</v>
      </c>
      <c r="AG27" s="54">
        <f t="shared" si="9"/>
        <v>0</v>
      </c>
      <c r="AH27" s="54">
        <f t="shared" si="10"/>
        <v>0</v>
      </c>
      <c r="AI27" s="34" t="s">
        <v>224</v>
      </c>
      <c r="AJ27" s="54">
        <f t="shared" si="11"/>
        <v>0</v>
      </c>
      <c r="AK27" s="54">
        <f t="shared" si="12"/>
        <v>0</v>
      </c>
      <c r="AL27" s="54">
        <f t="shared" si="13"/>
        <v>0</v>
      </c>
      <c r="AN27" s="54">
        <v>21</v>
      </c>
      <c r="AO27" s="54">
        <f t="shared" si="14"/>
        <v>0</v>
      </c>
      <c r="AP27" s="54">
        <f t="shared" si="15"/>
        <v>0</v>
      </c>
      <c r="AQ27" s="57" t="s">
        <v>194</v>
      </c>
      <c r="AV27" s="54">
        <f t="shared" si="16"/>
        <v>0</v>
      </c>
      <c r="AW27" s="54">
        <f t="shared" si="17"/>
        <v>0</v>
      </c>
      <c r="AX27" s="54">
        <f t="shared" si="18"/>
        <v>0</v>
      </c>
      <c r="AY27" s="57" t="s">
        <v>195</v>
      </c>
      <c r="AZ27" s="57" t="s">
        <v>266</v>
      </c>
      <c r="BA27" s="34" t="s">
        <v>231</v>
      </c>
      <c r="BC27" s="54">
        <f t="shared" si="19"/>
        <v>0</v>
      </c>
      <c r="BD27" s="54">
        <f t="shared" si="20"/>
        <v>0</v>
      </c>
      <c r="BE27" s="54">
        <v>0</v>
      </c>
      <c r="BF27" s="54">
        <f>27</f>
        <v>27</v>
      </c>
      <c r="BH27" s="54">
        <f t="shared" si="21"/>
        <v>0</v>
      </c>
      <c r="BI27" s="54">
        <f t="shared" si="22"/>
        <v>0</v>
      </c>
      <c r="BJ27" s="54">
        <f t="shared" si="23"/>
        <v>0</v>
      </c>
      <c r="BK27" s="57" t="s">
        <v>190</v>
      </c>
      <c r="BL27" s="54"/>
      <c r="BW27" s="54">
        <v>21</v>
      </c>
      <c r="BX27" s="3" t="s">
        <v>285</v>
      </c>
    </row>
    <row r="28" spans="1:76" x14ac:dyDescent="0.25">
      <c r="A28" s="1" t="s">
        <v>127</v>
      </c>
      <c r="B28" s="2" t="s">
        <v>287</v>
      </c>
      <c r="C28" s="83" t="s">
        <v>288</v>
      </c>
      <c r="D28" s="78"/>
      <c r="E28" s="2" t="s">
        <v>177</v>
      </c>
      <c r="F28" s="54">
        <f>'Stavební rozpočet'!F72</f>
        <v>3.9</v>
      </c>
      <c r="G28" s="54">
        <f>'Stavební rozpočet'!G72</f>
        <v>0</v>
      </c>
      <c r="H28" s="54">
        <f t="shared" si="0"/>
        <v>0</v>
      </c>
      <c r="I28" s="54">
        <f t="shared" si="1"/>
        <v>0</v>
      </c>
      <c r="J28" s="54">
        <f t="shared" si="2"/>
        <v>0</v>
      </c>
      <c r="K28" s="56" t="s">
        <v>4</v>
      </c>
      <c r="Z28" s="54">
        <f t="shared" si="3"/>
        <v>0</v>
      </c>
      <c r="AB28" s="54">
        <f t="shared" si="4"/>
        <v>0</v>
      </c>
      <c r="AC28" s="54">
        <f t="shared" si="5"/>
        <v>0</v>
      </c>
      <c r="AD28" s="54">
        <f t="shared" si="6"/>
        <v>0</v>
      </c>
      <c r="AE28" s="54">
        <f t="shared" si="7"/>
        <v>0</v>
      </c>
      <c r="AF28" s="54">
        <f t="shared" si="8"/>
        <v>0</v>
      </c>
      <c r="AG28" s="54">
        <f t="shared" si="9"/>
        <v>0</v>
      </c>
      <c r="AH28" s="54">
        <f t="shared" si="10"/>
        <v>0</v>
      </c>
      <c r="AI28" s="34" t="s">
        <v>224</v>
      </c>
      <c r="AJ28" s="54">
        <f t="shared" si="11"/>
        <v>0</v>
      </c>
      <c r="AK28" s="54">
        <f t="shared" si="12"/>
        <v>0</v>
      </c>
      <c r="AL28" s="54">
        <f t="shared" si="13"/>
        <v>0</v>
      </c>
      <c r="AN28" s="54">
        <v>21</v>
      </c>
      <c r="AO28" s="54">
        <f t="shared" si="14"/>
        <v>0</v>
      </c>
      <c r="AP28" s="54">
        <f t="shared" si="15"/>
        <v>0</v>
      </c>
      <c r="AQ28" s="57" t="s">
        <v>194</v>
      </c>
      <c r="AV28" s="54">
        <f t="shared" si="16"/>
        <v>0</v>
      </c>
      <c r="AW28" s="54">
        <f t="shared" si="17"/>
        <v>0</v>
      </c>
      <c r="AX28" s="54">
        <f t="shared" si="18"/>
        <v>0</v>
      </c>
      <c r="AY28" s="57" t="s">
        <v>195</v>
      </c>
      <c r="AZ28" s="57" t="s">
        <v>266</v>
      </c>
      <c r="BA28" s="34" t="s">
        <v>231</v>
      </c>
      <c r="BC28" s="54">
        <f t="shared" si="19"/>
        <v>0</v>
      </c>
      <c r="BD28" s="54">
        <f t="shared" si="20"/>
        <v>0</v>
      </c>
      <c r="BE28" s="54">
        <v>0</v>
      </c>
      <c r="BF28" s="54">
        <f>28</f>
        <v>28</v>
      </c>
      <c r="BH28" s="54">
        <f t="shared" si="21"/>
        <v>0</v>
      </c>
      <c r="BI28" s="54">
        <f t="shared" si="22"/>
        <v>0</v>
      </c>
      <c r="BJ28" s="54">
        <f t="shared" si="23"/>
        <v>0</v>
      </c>
      <c r="BK28" s="57" t="s">
        <v>190</v>
      </c>
      <c r="BL28" s="54"/>
      <c r="BW28" s="54">
        <v>21</v>
      </c>
      <c r="BX28" s="3" t="s">
        <v>288</v>
      </c>
    </row>
    <row r="29" spans="1:76" ht="202.5" customHeight="1" x14ac:dyDescent="0.25">
      <c r="A29" s="58"/>
      <c r="B29" s="59" t="s">
        <v>53</v>
      </c>
      <c r="C29" s="163" t="s">
        <v>289</v>
      </c>
      <c r="D29" s="164"/>
      <c r="E29" s="164"/>
      <c r="F29" s="164"/>
      <c r="G29" s="164"/>
      <c r="H29" s="164"/>
      <c r="I29" s="164"/>
      <c r="J29" s="164"/>
      <c r="K29" s="166"/>
    </row>
    <row r="30" spans="1:76" x14ac:dyDescent="0.25">
      <c r="A30" s="60" t="s">
        <v>4</v>
      </c>
      <c r="B30" s="61" t="s">
        <v>4</v>
      </c>
      <c r="C30" s="167" t="s">
        <v>290</v>
      </c>
      <c r="D30" s="168"/>
      <c r="E30" s="62" t="s">
        <v>69</v>
      </c>
      <c r="F30" s="62" t="s">
        <v>69</v>
      </c>
      <c r="G30" s="62" t="s">
        <v>69</v>
      </c>
      <c r="H30" s="63">
        <f>H31</f>
        <v>0</v>
      </c>
      <c r="I30" s="63">
        <f>I31</f>
        <v>0</v>
      </c>
      <c r="J30" s="63">
        <f>J31</f>
        <v>0</v>
      </c>
      <c r="K30" s="64" t="s">
        <v>4</v>
      </c>
    </row>
    <row r="31" spans="1:76" x14ac:dyDescent="0.25">
      <c r="A31" s="49" t="s">
        <v>4</v>
      </c>
      <c r="B31" s="50" t="s">
        <v>190</v>
      </c>
      <c r="C31" s="161" t="s">
        <v>40</v>
      </c>
      <c r="D31" s="162"/>
      <c r="E31" s="51" t="s">
        <v>69</v>
      </c>
      <c r="F31" s="51" t="s">
        <v>69</v>
      </c>
      <c r="G31" s="51" t="s">
        <v>69</v>
      </c>
      <c r="H31" s="28">
        <f>SUM(H32:H40)</f>
        <v>0</v>
      </c>
      <c r="I31" s="28">
        <f>SUM(I32:I40)</f>
        <v>0</v>
      </c>
      <c r="J31" s="28">
        <f>SUM(J32:J40)</f>
        <v>0</v>
      </c>
      <c r="K31" s="53" t="s">
        <v>4</v>
      </c>
      <c r="AI31" s="34" t="s">
        <v>291</v>
      </c>
      <c r="AS31" s="28">
        <f>SUM(AJ32:AJ40)</f>
        <v>0</v>
      </c>
      <c r="AT31" s="28">
        <f>SUM(AK32:AK40)</f>
        <v>0</v>
      </c>
      <c r="AU31" s="28">
        <f>SUM(AL32:AL40)</f>
        <v>0</v>
      </c>
    </row>
    <row r="32" spans="1:76" x14ac:dyDescent="0.25">
      <c r="A32" s="1" t="s">
        <v>157</v>
      </c>
      <c r="B32" s="2" t="s">
        <v>264</v>
      </c>
      <c r="C32" s="83" t="s">
        <v>265</v>
      </c>
      <c r="D32" s="78"/>
      <c r="E32" s="2" t="s">
        <v>214</v>
      </c>
      <c r="F32" s="54">
        <f>'Stavební rozpočet'!F90</f>
        <v>84</v>
      </c>
      <c r="G32" s="54">
        <f>'Stavební rozpočet'!G90</f>
        <v>0</v>
      </c>
      <c r="H32" s="54">
        <f t="shared" ref="H32:H40" si="24">ROUND(F32*AO32,2)</f>
        <v>0</v>
      </c>
      <c r="I32" s="54">
        <f t="shared" ref="I32:I40" si="25">ROUND(F32*AP32,2)</f>
        <v>0</v>
      </c>
      <c r="J32" s="54">
        <f t="shared" ref="J32:J40" si="26">ROUND(F32*G32,2)</f>
        <v>0</v>
      </c>
      <c r="K32" s="56" t="s">
        <v>4</v>
      </c>
      <c r="Z32" s="54">
        <f t="shared" ref="Z32:Z40" si="27">ROUND(IF(AQ32="5",BJ32,0),2)</f>
        <v>0</v>
      </c>
      <c r="AB32" s="54">
        <f t="shared" ref="AB32:AB40" si="28">ROUND(IF(AQ32="1",BH32,0),2)</f>
        <v>0</v>
      </c>
      <c r="AC32" s="54">
        <f t="shared" ref="AC32:AC40" si="29">ROUND(IF(AQ32="1",BI32,0),2)</f>
        <v>0</v>
      </c>
      <c r="AD32" s="54">
        <f t="shared" ref="AD32:AD40" si="30">ROUND(IF(AQ32="7",BH32,0),2)</f>
        <v>0</v>
      </c>
      <c r="AE32" s="54">
        <f t="shared" ref="AE32:AE40" si="31">ROUND(IF(AQ32="7",BI32,0),2)</f>
        <v>0</v>
      </c>
      <c r="AF32" s="54">
        <f t="shared" ref="AF32:AF40" si="32">ROUND(IF(AQ32="2",BH32,0),2)</f>
        <v>0</v>
      </c>
      <c r="AG32" s="54">
        <f t="shared" ref="AG32:AG40" si="33">ROUND(IF(AQ32="2",BI32,0),2)</f>
        <v>0</v>
      </c>
      <c r="AH32" s="54">
        <f t="shared" ref="AH32:AH40" si="34">ROUND(IF(AQ32="0",BJ32,0),2)</f>
        <v>0</v>
      </c>
      <c r="AI32" s="34" t="s">
        <v>291</v>
      </c>
      <c r="AJ32" s="54">
        <f t="shared" ref="AJ32:AJ40" si="35">IF(AN32=0,J32,0)</f>
        <v>0</v>
      </c>
      <c r="AK32" s="54">
        <f t="shared" ref="AK32:AK40" si="36">IF(AN32=0,J32,0)</f>
        <v>0</v>
      </c>
      <c r="AL32" s="54">
        <f t="shared" ref="AL32:AL40" si="37">IF(AN32=21,J32,0)</f>
        <v>0</v>
      </c>
      <c r="AN32" s="54">
        <v>21</v>
      </c>
      <c r="AO32" s="54">
        <f t="shared" ref="AO32:AO40" si="38">G32*1</f>
        <v>0</v>
      </c>
      <c r="AP32" s="54">
        <f t="shared" ref="AP32:AP40" si="39">G32*(1-1)</f>
        <v>0</v>
      </c>
      <c r="AQ32" s="57" t="s">
        <v>194</v>
      </c>
      <c r="AV32" s="54">
        <f t="shared" ref="AV32:AV40" si="40">ROUND(AW32+AX32,2)</f>
        <v>0</v>
      </c>
      <c r="AW32" s="54">
        <f t="shared" ref="AW32:AW40" si="41">ROUND(F32*AO32,2)</f>
        <v>0</v>
      </c>
      <c r="AX32" s="54">
        <f t="shared" ref="AX32:AX40" si="42">ROUND(F32*AP32,2)</f>
        <v>0</v>
      </c>
      <c r="AY32" s="57" t="s">
        <v>195</v>
      </c>
      <c r="AZ32" s="57" t="s">
        <v>314</v>
      </c>
      <c r="BA32" s="34" t="s">
        <v>294</v>
      </c>
      <c r="BC32" s="54">
        <f t="shared" ref="BC32:BC40" si="43">AW32+AX32</f>
        <v>0</v>
      </c>
      <c r="BD32" s="54">
        <f t="shared" ref="BD32:BD40" si="44">G32/(100-BE32)*100</f>
        <v>0</v>
      </c>
      <c r="BE32" s="54">
        <v>0</v>
      </c>
      <c r="BF32" s="54">
        <f>32</f>
        <v>32</v>
      </c>
      <c r="BH32" s="54">
        <f t="shared" ref="BH32:BH40" si="45">F32*AO32</f>
        <v>0</v>
      </c>
      <c r="BI32" s="54">
        <f t="shared" ref="BI32:BI40" si="46">F32*AP32</f>
        <v>0</v>
      </c>
      <c r="BJ32" s="54">
        <f t="shared" ref="BJ32:BJ40" si="47">F32*G32</f>
        <v>0</v>
      </c>
      <c r="BK32" s="57" t="s">
        <v>190</v>
      </c>
      <c r="BL32" s="54"/>
      <c r="BW32" s="54">
        <v>21</v>
      </c>
      <c r="BX32" s="3" t="s">
        <v>265</v>
      </c>
    </row>
    <row r="33" spans="1:76" x14ac:dyDescent="0.25">
      <c r="A33" s="1" t="s">
        <v>162</v>
      </c>
      <c r="B33" s="2" t="s">
        <v>271</v>
      </c>
      <c r="C33" s="83" t="s">
        <v>272</v>
      </c>
      <c r="D33" s="78"/>
      <c r="E33" s="2" t="s">
        <v>214</v>
      </c>
      <c r="F33" s="54">
        <f>'Stavební rozpočet'!F91</f>
        <v>7</v>
      </c>
      <c r="G33" s="54">
        <f>'Stavební rozpočet'!G91</f>
        <v>0</v>
      </c>
      <c r="H33" s="54">
        <f t="shared" si="24"/>
        <v>0</v>
      </c>
      <c r="I33" s="54">
        <f t="shared" si="25"/>
        <v>0</v>
      </c>
      <c r="J33" s="54">
        <f t="shared" si="26"/>
        <v>0</v>
      </c>
      <c r="K33" s="56" t="s">
        <v>4</v>
      </c>
      <c r="Z33" s="54">
        <f t="shared" si="27"/>
        <v>0</v>
      </c>
      <c r="AB33" s="54">
        <f t="shared" si="28"/>
        <v>0</v>
      </c>
      <c r="AC33" s="54">
        <f t="shared" si="29"/>
        <v>0</v>
      </c>
      <c r="AD33" s="54">
        <f t="shared" si="30"/>
        <v>0</v>
      </c>
      <c r="AE33" s="54">
        <f t="shared" si="31"/>
        <v>0</v>
      </c>
      <c r="AF33" s="54">
        <f t="shared" si="32"/>
        <v>0</v>
      </c>
      <c r="AG33" s="54">
        <f t="shared" si="33"/>
        <v>0</v>
      </c>
      <c r="AH33" s="54">
        <f t="shared" si="34"/>
        <v>0</v>
      </c>
      <c r="AI33" s="34" t="s">
        <v>291</v>
      </c>
      <c r="AJ33" s="54">
        <f t="shared" si="35"/>
        <v>0</v>
      </c>
      <c r="AK33" s="54">
        <f t="shared" si="36"/>
        <v>0</v>
      </c>
      <c r="AL33" s="54">
        <f t="shared" si="37"/>
        <v>0</v>
      </c>
      <c r="AN33" s="54">
        <v>21</v>
      </c>
      <c r="AO33" s="54">
        <f t="shared" si="38"/>
        <v>0</v>
      </c>
      <c r="AP33" s="54">
        <f t="shared" si="39"/>
        <v>0</v>
      </c>
      <c r="AQ33" s="57" t="s">
        <v>194</v>
      </c>
      <c r="AV33" s="54">
        <f t="shared" si="40"/>
        <v>0</v>
      </c>
      <c r="AW33" s="54">
        <f t="shared" si="41"/>
        <v>0</v>
      </c>
      <c r="AX33" s="54">
        <f t="shared" si="42"/>
        <v>0</v>
      </c>
      <c r="AY33" s="57" t="s">
        <v>195</v>
      </c>
      <c r="AZ33" s="57" t="s">
        <v>314</v>
      </c>
      <c r="BA33" s="34" t="s">
        <v>294</v>
      </c>
      <c r="BC33" s="54">
        <f t="shared" si="43"/>
        <v>0</v>
      </c>
      <c r="BD33" s="54">
        <f t="shared" si="44"/>
        <v>0</v>
      </c>
      <c r="BE33" s="54">
        <v>0</v>
      </c>
      <c r="BF33" s="54">
        <f>33</f>
        <v>33</v>
      </c>
      <c r="BH33" s="54">
        <f t="shared" si="45"/>
        <v>0</v>
      </c>
      <c r="BI33" s="54">
        <f t="shared" si="46"/>
        <v>0</v>
      </c>
      <c r="BJ33" s="54">
        <f t="shared" si="47"/>
        <v>0</v>
      </c>
      <c r="BK33" s="57" t="s">
        <v>190</v>
      </c>
      <c r="BL33" s="54"/>
      <c r="BW33" s="54">
        <v>21</v>
      </c>
      <c r="BX33" s="3" t="s">
        <v>272</v>
      </c>
    </row>
    <row r="34" spans="1:76" x14ac:dyDescent="0.25">
      <c r="A34" s="1" t="s">
        <v>169</v>
      </c>
      <c r="B34" s="2" t="s">
        <v>317</v>
      </c>
      <c r="C34" s="83" t="s">
        <v>318</v>
      </c>
      <c r="D34" s="78"/>
      <c r="E34" s="2" t="s">
        <v>177</v>
      </c>
      <c r="F34" s="54">
        <f>'Stavební rozpočet'!F92</f>
        <v>1</v>
      </c>
      <c r="G34" s="54">
        <f>'Stavební rozpočet'!G92</f>
        <v>0</v>
      </c>
      <c r="H34" s="54">
        <f t="shared" si="24"/>
        <v>0</v>
      </c>
      <c r="I34" s="54">
        <f t="shared" si="25"/>
        <v>0</v>
      </c>
      <c r="J34" s="54">
        <f t="shared" si="26"/>
        <v>0</v>
      </c>
      <c r="K34" s="56" t="s">
        <v>120</v>
      </c>
      <c r="Z34" s="54">
        <f t="shared" si="27"/>
        <v>0</v>
      </c>
      <c r="AB34" s="54">
        <f t="shared" si="28"/>
        <v>0</v>
      </c>
      <c r="AC34" s="54">
        <f t="shared" si="29"/>
        <v>0</v>
      </c>
      <c r="AD34" s="54">
        <f t="shared" si="30"/>
        <v>0</v>
      </c>
      <c r="AE34" s="54">
        <f t="shared" si="31"/>
        <v>0</v>
      </c>
      <c r="AF34" s="54">
        <f t="shared" si="32"/>
        <v>0</v>
      </c>
      <c r="AG34" s="54">
        <f t="shared" si="33"/>
        <v>0</v>
      </c>
      <c r="AH34" s="54">
        <f t="shared" si="34"/>
        <v>0</v>
      </c>
      <c r="AI34" s="34" t="s">
        <v>291</v>
      </c>
      <c r="AJ34" s="54">
        <f t="shared" si="35"/>
        <v>0</v>
      </c>
      <c r="AK34" s="54">
        <f t="shared" si="36"/>
        <v>0</v>
      </c>
      <c r="AL34" s="54">
        <f t="shared" si="37"/>
        <v>0</v>
      </c>
      <c r="AN34" s="54">
        <v>21</v>
      </c>
      <c r="AO34" s="54">
        <f t="shared" si="38"/>
        <v>0</v>
      </c>
      <c r="AP34" s="54">
        <f t="shared" si="39"/>
        <v>0</v>
      </c>
      <c r="AQ34" s="57" t="s">
        <v>194</v>
      </c>
      <c r="AV34" s="54">
        <f t="shared" si="40"/>
        <v>0</v>
      </c>
      <c r="AW34" s="54">
        <f t="shared" si="41"/>
        <v>0</v>
      </c>
      <c r="AX34" s="54">
        <f t="shared" si="42"/>
        <v>0</v>
      </c>
      <c r="AY34" s="57" t="s">
        <v>195</v>
      </c>
      <c r="AZ34" s="57" t="s">
        <v>314</v>
      </c>
      <c r="BA34" s="34" t="s">
        <v>294</v>
      </c>
      <c r="BC34" s="54">
        <f t="shared" si="43"/>
        <v>0</v>
      </c>
      <c r="BD34" s="54">
        <f t="shared" si="44"/>
        <v>0</v>
      </c>
      <c r="BE34" s="54">
        <v>0</v>
      </c>
      <c r="BF34" s="54">
        <f>34</f>
        <v>34</v>
      </c>
      <c r="BH34" s="54">
        <f t="shared" si="45"/>
        <v>0</v>
      </c>
      <c r="BI34" s="54">
        <f t="shared" si="46"/>
        <v>0</v>
      </c>
      <c r="BJ34" s="54">
        <f t="shared" si="47"/>
        <v>0</v>
      </c>
      <c r="BK34" s="57" t="s">
        <v>190</v>
      </c>
      <c r="BL34" s="54"/>
      <c r="BW34" s="54">
        <v>21</v>
      </c>
      <c r="BX34" s="3" t="s">
        <v>318</v>
      </c>
    </row>
    <row r="35" spans="1:76" ht="25.5" x14ac:dyDescent="0.25">
      <c r="A35" s="1" t="s">
        <v>174</v>
      </c>
      <c r="B35" s="2" t="s">
        <v>274</v>
      </c>
      <c r="C35" s="83" t="s">
        <v>275</v>
      </c>
      <c r="D35" s="78"/>
      <c r="E35" s="2" t="s">
        <v>276</v>
      </c>
      <c r="F35" s="54">
        <f>'Stavební rozpočet'!F93</f>
        <v>3.5</v>
      </c>
      <c r="G35" s="54">
        <f>'Stavební rozpočet'!G93</f>
        <v>0</v>
      </c>
      <c r="H35" s="54">
        <f t="shared" si="24"/>
        <v>0</v>
      </c>
      <c r="I35" s="54">
        <f t="shared" si="25"/>
        <v>0</v>
      </c>
      <c r="J35" s="54">
        <f t="shared" si="26"/>
        <v>0</v>
      </c>
      <c r="K35" s="56" t="s">
        <v>4</v>
      </c>
      <c r="Z35" s="54">
        <f t="shared" si="27"/>
        <v>0</v>
      </c>
      <c r="AB35" s="54">
        <f t="shared" si="28"/>
        <v>0</v>
      </c>
      <c r="AC35" s="54">
        <f t="shared" si="29"/>
        <v>0</v>
      </c>
      <c r="AD35" s="54">
        <f t="shared" si="30"/>
        <v>0</v>
      </c>
      <c r="AE35" s="54">
        <f t="shared" si="31"/>
        <v>0</v>
      </c>
      <c r="AF35" s="54">
        <f t="shared" si="32"/>
        <v>0</v>
      </c>
      <c r="AG35" s="54">
        <f t="shared" si="33"/>
        <v>0</v>
      </c>
      <c r="AH35" s="54">
        <f t="shared" si="34"/>
        <v>0</v>
      </c>
      <c r="AI35" s="34" t="s">
        <v>291</v>
      </c>
      <c r="AJ35" s="54">
        <f t="shared" si="35"/>
        <v>0</v>
      </c>
      <c r="AK35" s="54">
        <f t="shared" si="36"/>
        <v>0</v>
      </c>
      <c r="AL35" s="54">
        <f t="shared" si="37"/>
        <v>0</v>
      </c>
      <c r="AN35" s="54">
        <v>21</v>
      </c>
      <c r="AO35" s="54">
        <f t="shared" si="38"/>
        <v>0</v>
      </c>
      <c r="AP35" s="54">
        <f t="shared" si="39"/>
        <v>0</v>
      </c>
      <c r="AQ35" s="57" t="s">
        <v>194</v>
      </c>
      <c r="AV35" s="54">
        <f t="shared" si="40"/>
        <v>0</v>
      </c>
      <c r="AW35" s="54">
        <f t="shared" si="41"/>
        <v>0</v>
      </c>
      <c r="AX35" s="54">
        <f t="shared" si="42"/>
        <v>0</v>
      </c>
      <c r="AY35" s="57" t="s">
        <v>195</v>
      </c>
      <c r="AZ35" s="57" t="s">
        <v>314</v>
      </c>
      <c r="BA35" s="34" t="s">
        <v>294</v>
      </c>
      <c r="BC35" s="54">
        <f t="shared" si="43"/>
        <v>0</v>
      </c>
      <c r="BD35" s="54">
        <f t="shared" si="44"/>
        <v>0</v>
      </c>
      <c r="BE35" s="54">
        <v>0</v>
      </c>
      <c r="BF35" s="54">
        <f>35</f>
        <v>35</v>
      </c>
      <c r="BH35" s="54">
        <f t="shared" si="45"/>
        <v>0</v>
      </c>
      <c r="BI35" s="54">
        <f t="shared" si="46"/>
        <v>0</v>
      </c>
      <c r="BJ35" s="54">
        <f t="shared" si="47"/>
        <v>0</v>
      </c>
      <c r="BK35" s="57" t="s">
        <v>190</v>
      </c>
      <c r="BL35" s="54"/>
      <c r="BW35" s="54">
        <v>21</v>
      </c>
      <c r="BX35" s="3" t="s">
        <v>275</v>
      </c>
    </row>
    <row r="36" spans="1:76" x14ac:dyDescent="0.25">
      <c r="A36" s="1" t="s">
        <v>140</v>
      </c>
      <c r="B36" s="2" t="s">
        <v>278</v>
      </c>
      <c r="C36" s="83" t="s">
        <v>279</v>
      </c>
      <c r="D36" s="78"/>
      <c r="E36" s="2" t="s">
        <v>177</v>
      </c>
      <c r="F36" s="54">
        <f>'Stavební rozpočet'!F94</f>
        <v>0.7</v>
      </c>
      <c r="G36" s="54">
        <f>'Stavební rozpočet'!G94</f>
        <v>0</v>
      </c>
      <c r="H36" s="54">
        <f t="shared" si="24"/>
        <v>0</v>
      </c>
      <c r="I36" s="54">
        <f t="shared" si="25"/>
        <v>0</v>
      </c>
      <c r="J36" s="54">
        <f t="shared" si="26"/>
        <v>0</v>
      </c>
      <c r="K36" s="56" t="s">
        <v>120</v>
      </c>
      <c r="Z36" s="54">
        <f t="shared" si="27"/>
        <v>0</v>
      </c>
      <c r="AB36" s="54">
        <f t="shared" si="28"/>
        <v>0</v>
      </c>
      <c r="AC36" s="54">
        <f t="shared" si="29"/>
        <v>0</v>
      </c>
      <c r="AD36" s="54">
        <f t="shared" si="30"/>
        <v>0</v>
      </c>
      <c r="AE36" s="54">
        <f t="shared" si="31"/>
        <v>0</v>
      </c>
      <c r="AF36" s="54">
        <f t="shared" si="32"/>
        <v>0</v>
      </c>
      <c r="AG36" s="54">
        <f t="shared" si="33"/>
        <v>0</v>
      </c>
      <c r="AH36" s="54">
        <f t="shared" si="34"/>
        <v>0</v>
      </c>
      <c r="AI36" s="34" t="s">
        <v>291</v>
      </c>
      <c r="AJ36" s="54">
        <f t="shared" si="35"/>
        <v>0</v>
      </c>
      <c r="AK36" s="54">
        <f t="shared" si="36"/>
        <v>0</v>
      </c>
      <c r="AL36" s="54">
        <f t="shared" si="37"/>
        <v>0</v>
      </c>
      <c r="AN36" s="54">
        <v>21</v>
      </c>
      <c r="AO36" s="54">
        <f t="shared" si="38"/>
        <v>0</v>
      </c>
      <c r="AP36" s="54">
        <f t="shared" si="39"/>
        <v>0</v>
      </c>
      <c r="AQ36" s="57" t="s">
        <v>194</v>
      </c>
      <c r="AV36" s="54">
        <f t="shared" si="40"/>
        <v>0</v>
      </c>
      <c r="AW36" s="54">
        <f t="shared" si="41"/>
        <v>0</v>
      </c>
      <c r="AX36" s="54">
        <f t="shared" si="42"/>
        <v>0</v>
      </c>
      <c r="AY36" s="57" t="s">
        <v>195</v>
      </c>
      <c r="AZ36" s="57" t="s">
        <v>314</v>
      </c>
      <c r="BA36" s="34" t="s">
        <v>294</v>
      </c>
      <c r="BC36" s="54">
        <f t="shared" si="43"/>
        <v>0</v>
      </c>
      <c r="BD36" s="54">
        <f t="shared" si="44"/>
        <v>0</v>
      </c>
      <c r="BE36" s="54">
        <v>0</v>
      </c>
      <c r="BF36" s="54">
        <f>36</f>
        <v>36</v>
      </c>
      <c r="BH36" s="54">
        <f t="shared" si="45"/>
        <v>0</v>
      </c>
      <c r="BI36" s="54">
        <f t="shared" si="46"/>
        <v>0</v>
      </c>
      <c r="BJ36" s="54">
        <f t="shared" si="47"/>
        <v>0</v>
      </c>
      <c r="BK36" s="57" t="s">
        <v>190</v>
      </c>
      <c r="BL36" s="54"/>
      <c r="BW36" s="54">
        <v>21</v>
      </c>
      <c r="BX36" s="3" t="s">
        <v>279</v>
      </c>
    </row>
    <row r="37" spans="1:76" x14ac:dyDescent="0.25">
      <c r="A37" s="1" t="s">
        <v>180</v>
      </c>
      <c r="B37" s="2" t="s">
        <v>281</v>
      </c>
      <c r="C37" s="83" t="s">
        <v>282</v>
      </c>
      <c r="D37" s="78"/>
      <c r="E37" s="2" t="s">
        <v>111</v>
      </c>
      <c r="F37" s="54">
        <f>'Stavební rozpočet'!F95</f>
        <v>7</v>
      </c>
      <c r="G37" s="54">
        <f>'Stavební rozpočet'!G95</f>
        <v>0</v>
      </c>
      <c r="H37" s="54">
        <f t="shared" si="24"/>
        <v>0</v>
      </c>
      <c r="I37" s="54">
        <f t="shared" si="25"/>
        <v>0</v>
      </c>
      <c r="J37" s="54">
        <f t="shared" si="26"/>
        <v>0</v>
      </c>
      <c r="K37" s="56" t="s">
        <v>4</v>
      </c>
      <c r="Z37" s="54">
        <f t="shared" si="27"/>
        <v>0</v>
      </c>
      <c r="AB37" s="54">
        <f t="shared" si="28"/>
        <v>0</v>
      </c>
      <c r="AC37" s="54">
        <f t="shared" si="29"/>
        <v>0</v>
      </c>
      <c r="AD37" s="54">
        <f t="shared" si="30"/>
        <v>0</v>
      </c>
      <c r="AE37" s="54">
        <f t="shared" si="31"/>
        <v>0</v>
      </c>
      <c r="AF37" s="54">
        <f t="shared" si="32"/>
        <v>0</v>
      </c>
      <c r="AG37" s="54">
        <f t="shared" si="33"/>
        <v>0</v>
      </c>
      <c r="AH37" s="54">
        <f t="shared" si="34"/>
        <v>0</v>
      </c>
      <c r="AI37" s="34" t="s">
        <v>291</v>
      </c>
      <c r="AJ37" s="54">
        <f t="shared" si="35"/>
        <v>0</v>
      </c>
      <c r="AK37" s="54">
        <f t="shared" si="36"/>
        <v>0</v>
      </c>
      <c r="AL37" s="54">
        <f t="shared" si="37"/>
        <v>0</v>
      </c>
      <c r="AN37" s="54">
        <v>21</v>
      </c>
      <c r="AO37" s="54">
        <f t="shared" si="38"/>
        <v>0</v>
      </c>
      <c r="AP37" s="54">
        <f t="shared" si="39"/>
        <v>0</v>
      </c>
      <c r="AQ37" s="57" t="s">
        <v>194</v>
      </c>
      <c r="AV37" s="54">
        <f t="shared" si="40"/>
        <v>0</v>
      </c>
      <c r="AW37" s="54">
        <f t="shared" si="41"/>
        <v>0</v>
      </c>
      <c r="AX37" s="54">
        <f t="shared" si="42"/>
        <v>0</v>
      </c>
      <c r="AY37" s="57" t="s">
        <v>195</v>
      </c>
      <c r="AZ37" s="57" t="s">
        <v>314</v>
      </c>
      <c r="BA37" s="34" t="s">
        <v>294</v>
      </c>
      <c r="BC37" s="54">
        <f t="shared" si="43"/>
        <v>0</v>
      </c>
      <c r="BD37" s="54">
        <f t="shared" si="44"/>
        <v>0</v>
      </c>
      <c r="BE37" s="54">
        <v>0</v>
      </c>
      <c r="BF37" s="54">
        <f>37</f>
        <v>37</v>
      </c>
      <c r="BH37" s="54">
        <f t="shared" si="45"/>
        <v>0</v>
      </c>
      <c r="BI37" s="54">
        <f t="shared" si="46"/>
        <v>0</v>
      </c>
      <c r="BJ37" s="54">
        <f t="shared" si="47"/>
        <v>0</v>
      </c>
      <c r="BK37" s="57" t="s">
        <v>190</v>
      </c>
      <c r="BL37" s="54"/>
      <c r="BW37" s="54">
        <v>21</v>
      </c>
      <c r="BX37" s="3" t="s">
        <v>282</v>
      </c>
    </row>
    <row r="38" spans="1:76" x14ac:dyDescent="0.25">
      <c r="A38" s="1" t="s">
        <v>182</v>
      </c>
      <c r="B38" s="2" t="s">
        <v>268</v>
      </c>
      <c r="C38" s="83" t="s">
        <v>323</v>
      </c>
      <c r="D38" s="78"/>
      <c r="E38" s="2" t="s">
        <v>214</v>
      </c>
      <c r="F38" s="54">
        <f>'Stavební rozpočet'!F96</f>
        <v>4</v>
      </c>
      <c r="G38" s="54">
        <f>'Stavební rozpočet'!G96</f>
        <v>0</v>
      </c>
      <c r="H38" s="54">
        <f t="shared" si="24"/>
        <v>0</v>
      </c>
      <c r="I38" s="54">
        <f t="shared" si="25"/>
        <v>0</v>
      </c>
      <c r="J38" s="54">
        <f t="shared" si="26"/>
        <v>0</v>
      </c>
      <c r="K38" s="56" t="s">
        <v>4</v>
      </c>
      <c r="Z38" s="54">
        <f t="shared" si="27"/>
        <v>0</v>
      </c>
      <c r="AB38" s="54">
        <f t="shared" si="28"/>
        <v>0</v>
      </c>
      <c r="AC38" s="54">
        <f t="shared" si="29"/>
        <v>0</v>
      </c>
      <c r="AD38" s="54">
        <f t="shared" si="30"/>
        <v>0</v>
      </c>
      <c r="AE38" s="54">
        <f t="shared" si="31"/>
        <v>0</v>
      </c>
      <c r="AF38" s="54">
        <f t="shared" si="32"/>
        <v>0</v>
      </c>
      <c r="AG38" s="54">
        <f t="shared" si="33"/>
        <v>0</v>
      </c>
      <c r="AH38" s="54">
        <f t="shared" si="34"/>
        <v>0</v>
      </c>
      <c r="AI38" s="34" t="s">
        <v>291</v>
      </c>
      <c r="AJ38" s="54">
        <f t="shared" si="35"/>
        <v>0</v>
      </c>
      <c r="AK38" s="54">
        <f t="shared" si="36"/>
        <v>0</v>
      </c>
      <c r="AL38" s="54">
        <f t="shared" si="37"/>
        <v>0</v>
      </c>
      <c r="AN38" s="54">
        <v>21</v>
      </c>
      <c r="AO38" s="54">
        <f t="shared" si="38"/>
        <v>0</v>
      </c>
      <c r="AP38" s="54">
        <f t="shared" si="39"/>
        <v>0</v>
      </c>
      <c r="AQ38" s="57" t="s">
        <v>194</v>
      </c>
      <c r="AV38" s="54">
        <f t="shared" si="40"/>
        <v>0</v>
      </c>
      <c r="AW38" s="54">
        <f t="shared" si="41"/>
        <v>0</v>
      </c>
      <c r="AX38" s="54">
        <f t="shared" si="42"/>
        <v>0</v>
      </c>
      <c r="AY38" s="57" t="s">
        <v>195</v>
      </c>
      <c r="AZ38" s="57" t="s">
        <v>314</v>
      </c>
      <c r="BA38" s="34" t="s">
        <v>294</v>
      </c>
      <c r="BC38" s="54">
        <f t="shared" si="43"/>
        <v>0</v>
      </c>
      <c r="BD38" s="54">
        <f t="shared" si="44"/>
        <v>0</v>
      </c>
      <c r="BE38" s="54">
        <v>0</v>
      </c>
      <c r="BF38" s="54">
        <f>38</f>
        <v>38</v>
      </c>
      <c r="BH38" s="54">
        <f t="shared" si="45"/>
        <v>0</v>
      </c>
      <c r="BI38" s="54">
        <f t="shared" si="46"/>
        <v>0</v>
      </c>
      <c r="BJ38" s="54">
        <f t="shared" si="47"/>
        <v>0</v>
      </c>
      <c r="BK38" s="57" t="s">
        <v>190</v>
      </c>
      <c r="BL38" s="54"/>
      <c r="BW38" s="54">
        <v>21</v>
      </c>
      <c r="BX38" s="3" t="s">
        <v>323</v>
      </c>
    </row>
    <row r="39" spans="1:76" x14ac:dyDescent="0.25">
      <c r="A39" s="1" t="s">
        <v>184</v>
      </c>
      <c r="B39" s="2" t="s">
        <v>268</v>
      </c>
      <c r="C39" s="83" t="s">
        <v>269</v>
      </c>
      <c r="D39" s="78"/>
      <c r="E39" s="2" t="s">
        <v>214</v>
      </c>
      <c r="F39" s="54">
        <f>'Stavební rozpočet'!F97</f>
        <v>3</v>
      </c>
      <c r="G39" s="54">
        <f>'Stavební rozpočet'!G97</f>
        <v>0</v>
      </c>
      <c r="H39" s="54">
        <f t="shared" si="24"/>
        <v>0</v>
      </c>
      <c r="I39" s="54">
        <f t="shared" si="25"/>
        <v>0</v>
      </c>
      <c r="J39" s="54">
        <f t="shared" si="26"/>
        <v>0</v>
      </c>
      <c r="K39" s="56" t="s">
        <v>4</v>
      </c>
      <c r="Z39" s="54">
        <f t="shared" si="27"/>
        <v>0</v>
      </c>
      <c r="AB39" s="54">
        <f t="shared" si="28"/>
        <v>0</v>
      </c>
      <c r="AC39" s="54">
        <f t="shared" si="29"/>
        <v>0</v>
      </c>
      <c r="AD39" s="54">
        <f t="shared" si="30"/>
        <v>0</v>
      </c>
      <c r="AE39" s="54">
        <f t="shared" si="31"/>
        <v>0</v>
      </c>
      <c r="AF39" s="54">
        <f t="shared" si="32"/>
        <v>0</v>
      </c>
      <c r="AG39" s="54">
        <f t="shared" si="33"/>
        <v>0</v>
      </c>
      <c r="AH39" s="54">
        <f t="shared" si="34"/>
        <v>0</v>
      </c>
      <c r="AI39" s="34" t="s">
        <v>291</v>
      </c>
      <c r="AJ39" s="54">
        <f t="shared" si="35"/>
        <v>0</v>
      </c>
      <c r="AK39" s="54">
        <f t="shared" si="36"/>
        <v>0</v>
      </c>
      <c r="AL39" s="54">
        <f t="shared" si="37"/>
        <v>0</v>
      </c>
      <c r="AN39" s="54">
        <v>21</v>
      </c>
      <c r="AO39" s="54">
        <f t="shared" si="38"/>
        <v>0</v>
      </c>
      <c r="AP39" s="54">
        <f t="shared" si="39"/>
        <v>0</v>
      </c>
      <c r="AQ39" s="57" t="s">
        <v>194</v>
      </c>
      <c r="AV39" s="54">
        <f t="shared" si="40"/>
        <v>0</v>
      </c>
      <c r="AW39" s="54">
        <f t="shared" si="41"/>
        <v>0</v>
      </c>
      <c r="AX39" s="54">
        <f t="shared" si="42"/>
        <v>0</v>
      </c>
      <c r="AY39" s="57" t="s">
        <v>195</v>
      </c>
      <c r="AZ39" s="57" t="s">
        <v>314</v>
      </c>
      <c r="BA39" s="34" t="s">
        <v>294</v>
      </c>
      <c r="BC39" s="54">
        <f t="shared" si="43"/>
        <v>0</v>
      </c>
      <c r="BD39" s="54">
        <f t="shared" si="44"/>
        <v>0</v>
      </c>
      <c r="BE39" s="54">
        <v>0</v>
      </c>
      <c r="BF39" s="54">
        <f>39</f>
        <v>39</v>
      </c>
      <c r="BH39" s="54">
        <f t="shared" si="45"/>
        <v>0</v>
      </c>
      <c r="BI39" s="54">
        <f t="shared" si="46"/>
        <v>0</v>
      </c>
      <c r="BJ39" s="54">
        <f t="shared" si="47"/>
        <v>0</v>
      </c>
      <c r="BK39" s="57" t="s">
        <v>190</v>
      </c>
      <c r="BL39" s="54"/>
      <c r="BW39" s="54">
        <v>21</v>
      </c>
      <c r="BX39" s="3" t="s">
        <v>269</v>
      </c>
    </row>
    <row r="40" spans="1:76" x14ac:dyDescent="0.25">
      <c r="A40" s="1" t="s">
        <v>187</v>
      </c>
      <c r="B40" s="2" t="s">
        <v>192</v>
      </c>
      <c r="C40" s="83" t="s">
        <v>193</v>
      </c>
      <c r="D40" s="78"/>
      <c r="E40" s="2" t="s">
        <v>136</v>
      </c>
      <c r="F40" s="54">
        <f>'Stavební rozpočet'!F98</f>
        <v>0.12</v>
      </c>
      <c r="G40" s="54">
        <f>'Stavební rozpočet'!G98</f>
        <v>0</v>
      </c>
      <c r="H40" s="54">
        <f t="shared" si="24"/>
        <v>0</v>
      </c>
      <c r="I40" s="54">
        <f t="shared" si="25"/>
        <v>0</v>
      </c>
      <c r="J40" s="54">
        <f t="shared" si="26"/>
        <v>0</v>
      </c>
      <c r="K40" s="56" t="s">
        <v>120</v>
      </c>
      <c r="Z40" s="54">
        <f t="shared" si="27"/>
        <v>0</v>
      </c>
      <c r="AB40" s="54">
        <f t="shared" si="28"/>
        <v>0</v>
      </c>
      <c r="AC40" s="54">
        <f t="shared" si="29"/>
        <v>0</v>
      </c>
      <c r="AD40" s="54">
        <f t="shared" si="30"/>
        <v>0</v>
      </c>
      <c r="AE40" s="54">
        <f t="shared" si="31"/>
        <v>0</v>
      </c>
      <c r="AF40" s="54">
        <f t="shared" si="32"/>
        <v>0</v>
      </c>
      <c r="AG40" s="54">
        <f t="shared" si="33"/>
        <v>0</v>
      </c>
      <c r="AH40" s="54">
        <f t="shared" si="34"/>
        <v>0</v>
      </c>
      <c r="AI40" s="34" t="s">
        <v>291</v>
      </c>
      <c r="AJ40" s="54">
        <f t="shared" si="35"/>
        <v>0</v>
      </c>
      <c r="AK40" s="54">
        <f t="shared" si="36"/>
        <v>0</v>
      </c>
      <c r="AL40" s="54">
        <f t="shared" si="37"/>
        <v>0</v>
      </c>
      <c r="AN40" s="54">
        <v>21</v>
      </c>
      <c r="AO40" s="54">
        <f t="shared" si="38"/>
        <v>0</v>
      </c>
      <c r="AP40" s="54">
        <f t="shared" si="39"/>
        <v>0</v>
      </c>
      <c r="AQ40" s="57" t="s">
        <v>194</v>
      </c>
      <c r="AV40" s="54">
        <f t="shared" si="40"/>
        <v>0</v>
      </c>
      <c r="AW40" s="54">
        <f t="shared" si="41"/>
        <v>0</v>
      </c>
      <c r="AX40" s="54">
        <f t="shared" si="42"/>
        <v>0</v>
      </c>
      <c r="AY40" s="57" t="s">
        <v>195</v>
      </c>
      <c r="AZ40" s="57" t="s">
        <v>314</v>
      </c>
      <c r="BA40" s="34" t="s">
        <v>294</v>
      </c>
      <c r="BC40" s="54">
        <f t="shared" si="43"/>
        <v>0</v>
      </c>
      <c r="BD40" s="54">
        <f t="shared" si="44"/>
        <v>0</v>
      </c>
      <c r="BE40" s="54">
        <v>0</v>
      </c>
      <c r="BF40" s="54">
        <f>40</f>
        <v>40</v>
      </c>
      <c r="BH40" s="54">
        <f t="shared" si="45"/>
        <v>0</v>
      </c>
      <c r="BI40" s="54">
        <f t="shared" si="46"/>
        <v>0</v>
      </c>
      <c r="BJ40" s="54">
        <f t="shared" si="47"/>
        <v>0</v>
      </c>
      <c r="BK40" s="57" t="s">
        <v>190</v>
      </c>
      <c r="BL40" s="54"/>
      <c r="BW40" s="54">
        <v>21</v>
      </c>
      <c r="BX40" s="3" t="s">
        <v>193</v>
      </c>
    </row>
    <row r="41" spans="1:76" x14ac:dyDescent="0.25">
      <c r="A41" s="60" t="s">
        <v>4</v>
      </c>
      <c r="B41" s="61" t="s">
        <v>4</v>
      </c>
      <c r="C41" s="167" t="s">
        <v>326</v>
      </c>
      <c r="D41" s="168"/>
      <c r="E41" s="62" t="s">
        <v>69</v>
      </c>
      <c r="F41" s="62" t="s">
        <v>69</v>
      </c>
      <c r="G41" s="62" t="s">
        <v>69</v>
      </c>
      <c r="H41" s="63">
        <f>H42</f>
        <v>0</v>
      </c>
      <c r="I41" s="63">
        <f>I42</f>
        <v>0</v>
      </c>
      <c r="J41" s="63">
        <f>J42</f>
        <v>0</v>
      </c>
      <c r="K41" s="64" t="s">
        <v>4</v>
      </c>
    </row>
    <row r="42" spans="1:76" x14ac:dyDescent="0.25">
      <c r="A42" s="49" t="s">
        <v>4</v>
      </c>
      <c r="B42" s="50" t="s">
        <v>190</v>
      </c>
      <c r="C42" s="161" t="s">
        <v>40</v>
      </c>
      <c r="D42" s="162"/>
      <c r="E42" s="51" t="s">
        <v>69</v>
      </c>
      <c r="F42" s="51" t="s">
        <v>69</v>
      </c>
      <c r="G42" s="51" t="s">
        <v>69</v>
      </c>
      <c r="H42" s="28">
        <f>SUM(H43:H49)</f>
        <v>0</v>
      </c>
      <c r="I42" s="28">
        <f>SUM(I43:I49)</f>
        <v>0</v>
      </c>
      <c r="J42" s="28">
        <f>SUM(J43:J49)</f>
        <v>0</v>
      </c>
      <c r="K42" s="53" t="s">
        <v>4</v>
      </c>
      <c r="AI42" s="34" t="s">
        <v>327</v>
      </c>
      <c r="AS42" s="28">
        <f>SUM(AJ43:AJ49)</f>
        <v>0</v>
      </c>
      <c r="AT42" s="28">
        <f>SUM(AK43:AK49)</f>
        <v>0</v>
      </c>
      <c r="AU42" s="28">
        <f>SUM(AL43:AL49)</f>
        <v>0</v>
      </c>
    </row>
    <row r="43" spans="1:76" x14ac:dyDescent="0.25">
      <c r="A43" s="1" t="s">
        <v>191</v>
      </c>
      <c r="B43" s="2" t="s">
        <v>317</v>
      </c>
      <c r="C43" s="83" t="s">
        <v>318</v>
      </c>
      <c r="D43" s="78"/>
      <c r="E43" s="2" t="s">
        <v>177</v>
      </c>
      <c r="F43" s="54">
        <f>'Stavební rozpočet'!F113</f>
        <v>13.4</v>
      </c>
      <c r="G43" s="54">
        <f>'Stavební rozpočet'!G113</f>
        <v>0</v>
      </c>
      <c r="H43" s="54">
        <f t="shared" ref="H43:H49" si="48">ROUND(F43*AO43,2)</f>
        <v>0</v>
      </c>
      <c r="I43" s="54">
        <f t="shared" ref="I43:I49" si="49">ROUND(F43*AP43,2)</f>
        <v>0</v>
      </c>
      <c r="J43" s="54">
        <f t="shared" ref="J43:J49" si="50">ROUND(F43*G43,2)</f>
        <v>0</v>
      </c>
      <c r="K43" s="56" t="s">
        <v>120</v>
      </c>
      <c r="Z43" s="54">
        <f t="shared" ref="Z43:Z49" si="51">ROUND(IF(AQ43="5",BJ43,0),2)</f>
        <v>0</v>
      </c>
      <c r="AB43" s="54">
        <f t="shared" ref="AB43:AB49" si="52">ROUND(IF(AQ43="1",BH43,0),2)</f>
        <v>0</v>
      </c>
      <c r="AC43" s="54">
        <f t="shared" ref="AC43:AC49" si="53">ROUND(IF(AQ43="1",BI43,0),2)</f>
        <v>0</v>
      </c>
      <c r="AD43" s="54">
        <f t="shared" ref="AD43:AD49" si="54">ROUND(IF(AQ43="7",BH43,0),2)</f>
        <v>0</v>
      </c>
      <c r="AE43" s="54">
        <f t="shared" ref="AE43:AE49" si="55">ROUND(IF(AQ43="7",BI43,0),2)</f>
        <v>0</v>
      </c>
      <c r="AF43" s="54">
        <f t="shared" ref="AF43:AF49" si="56">ROUND(IF(AQ43="2",BH43,0),2)</f>
        <v>0</v>
      </c>
      <c r="AG43" s="54">
        <f t="shared" ref="AG43:AG49" si="57">ROUND(IF(AQ43="2",BI43,0),2)</f>
        <v>0</v>
      </c>
      <c r="AH43" s="54">
        <f t="shared" ref="AH43:AH49" si="58">ROUND(IF(AQ43="0",BJ43,0),2)</f>
        <v>0</v>
      </c>
      <c r="AI43" s="34" t="s">
        <v>327</v>
      </c>
      <c r="AJ43" s="54">
        <f t="shared" ref="AJ43:AJ49" si="59">IF(AN43=0,J43,0)</f>
        <v>0</v>
      </c>
      <c r="AK43" s="54">
        <f t="shared" ref="AK43:AK49" si="60">IF(AN43=0,J43,0)</f>
        <v>0</v>
      </c>
      <c r="AL43" s="54">
        <f t="shared" ref="AL43:AL49" si="61">IF(AN43=21,J43,0)</f>
        <v>0</v>
      </c>
      <c r="AN43" s="54">
        <v>21</v>
      </c>
      <c r="AO43" s="54">
        <f t="shared" ref="AO43:AO49" si="62">G43*1</f>
        <v>0</v>
      </c>
      <c r="AP43" s="54">
        <f t="shared" ref="AP43:AP49" si="63">G43*(1-1)</f>
        <v>0</v>
      </c>
      <c r="AQ43" s="57" t="s">
        <v>194</v>
      </c>
      <c r="AV43" s="54">
        <f t="shared" ref="AV43:AV49" si="64">ROUND(AW43+AX43,2)</f>
        <v>0</v>
      </c>
      <c r="AW43" s="54">
        <f t="shared" ref="AW43:AW49" si="65">ROUND(F43*AO43,2)</f>
        <v>0</v>
      </c>
      <c r="AX43" s="54">
        <f t="shared" ref="AX43:AX49" si="66">ROUND(F43*AP43,2)</f>
        <v>0</v>
      </c>
      <c r="AY43" s="57" t="s">
        <v>195</v>
      </c>
      <c r="AZ43" s="57" t="s">
        <v>359</v>
      </c>
      <c r="BA43" s="34" t="s">
        <v>332</v>
      </c>
      <c r="BC43" s="54">
        <f t="shared" ref="BC43:BC49" si="67">AW43+AX43</f>
        <v>0</v>
      </c>
      <c r="BD43" s="54">
        <f t="shared" ref="BD43:BD49" si="68">G43/(100-BE43)*100</f>
        <v>0</v>
      </c>
      <c r="BE43" s="54">
        <v>0</v>
      </c>
      <c r="BF43" s="54">
        <f>43</f>
        <v>43</v>
      </c>
      <c r="BH43" s="54">
        <f t="shared" ref="BH43:BH49" si="69">F43*AO43</f>
        <v>0</v>
      </c>
      <c r="BI43" s="54">
        <f t="shared" ref="BI43:BI49" si="70">F43*AP43</f>
        <v>0</v>
      </c>
      <c r="BJ43" s="54">
        <f t="shared" ref="BJ43:BJ49" si="71">F43*G43</f>
        <v>0</v>
      </c>
      <c r="BK43" s="57" t="s">
        <v>190</v>
      </c>
      <c r="BL43" s="54"/>
      <c r="BW43" s="54">
        <v>21</v>
      </c>
      <c r="BX43" s="3" t="s">
        <v>318</v>
      </c>
    </row>
    <row r="44" spans="1:76" x14ac:dyDescent="0.25">
      <c r="A44" s="1" t="s">
        <v>199</v>
      </c>
      <c r="B44" s="2" t="s">
        <v>361</v>
      </c>
      <c r="C44" s="83" t="s">
        <v>362</v>
      </c>
      <c r="D44" s="78"/>
      <c r="E44" s="2" t="s">
        <v>214</v>
      </c>
      <c r="F44" s="54">
        <f>'Stavební rozpočet'!F114</f>
        <v>997</v>
      </c>
      <c r="G44" s="54">
        <f>'Stavební rozpočet'!G114</f>
        <v>0</v>
      </c>
      <c r="H44" s="54">
        <f t="shared" si="48"/>
        <v>0</v>
      </c>
      <c r="I44" s="54">
        <f t="shared" si="49"/>
        <v>0</v>
      </c>
      <c r="J44" s="54">
        <f t="shared" si="50"/>
        <v>0</v>
      </c>
      <c r="K44" s="56" t="s">
        <v>4</v>
      </c>
      <c r="Z44" s="54">
        <f t="shared" si="51"/>
        <v>0</v>
      </c>
      <c r="AB44" s="54">
        <f t="shared" si="52"/>
        <v>0</v>
      </c>
      <c r="AC44" s="54">
        <f t="shared" si="53"/>
        <v>0</v>
      </c>
      <c r="AD44" s="54">
        <f t="shared" si="54"/>
        <v>0</v>
      </c>
      <c r="AE44" s="54">
        <f t="shared" si="55"/>
        <v>0</v>
      </c>
      <c r="AF44" s="54">
        <f t="shared" si="56"/>
        <v>0</v>
      </c>
      <c r="AG44" s="54">
        <f t="shared" si="57"/>
        <v>0</v>
      </c>
      <c r="AH44" s="54">
        <f t="shared" si="58"/>
        <v>0</v>
      </c>
      <c r="AI44" s="34" t="s">
        <v>327</v>
      </c>
      <c r="AJ44" s="54">
        <f t="shared" si="59"/>
        <v>0</v>
      </c>
      <c r="AK44" s="54">
        <f t="shared" si="60"/>
        <v>0</v>
      </c>
      <c r="AL44" s="54">
        <f t="shared" si="61"/>
        <v>0</v>
      </c>
      <c r="AN44" s="54">
        <v>21</v>
      </c>
      <c r="AO44" s="54">
        <f t="shared" si="62"/>
        <v>0</v>
      </c>
      <c r="AP44" s="54">
        <f t="shared" si="63"/>
        <v>0</v>
      </c>
      <c r="AQ44" s="57" t="s">
        <v>194</v>
      </c>
      <c r="AV44" s="54">
        <f t="shared" si="64"/>
        <v>0</v>
      </c>
      <c r="AW44" s="54">
        <f t="shared" si="65"/>
        <v>0</v>
      </c>
      <c r="AX44" s="54">
        <f t="shared" si="66"/>
        <v>0</v>
      </c>
      <c r="AY44" s="57" t="s">
        <v>195</v>
      </c>
      <c r="AZ44" s="57" t="s">
        <v>359</v>
      </c>
      <c r="BA44" s="34" t="s">
        <v>332</v>
      </c>
      <c r="BC44" s="54">
        <f t="shared" si="67"/>
        <v>0</v>
      </c>
      <c r="BD44" s="54">
        <f t="shared" si="68"/>
        <v>0</v>
      </c>
      <c r="BE44" s="54">
        <v>0</v>
      </c>
      <c r="BF44" s="54">
        <f>44</f>
        <v>44</v>
      </c>
      <c r="BH44" s="54">
        <f t="shared" si="69"/>
        <v>0</v>
      </c>
      <c r="BI44" s="54">
        <f t="shared" si="70"/>
        <v>0</v>
      </c>
      <c r="BJ44" s="54">
        <f t="shared" si="71"/>
        <v>0</v>
      </c>
      <c r="BK44" s="57" t="s">
        <v>190</v>
      </c>
      <c r="BL44" s="54"/>
      <c r="BW44" s="54">
        <v>21</v>
      </c>
      <c r="BX44" s="3" t="s">
        <v>362</v>
      </c>
    </row>
    <row r="45" spans="1:76" x14ac:dyDescent="0.25">
      <c r="A45" s="1" t="s">
        <v>204</v>
      </c>
      <c r="B45" s="2" t="s">
        <v>364</v>
      </c>
      <c r="C45" s="83" t="s">
        <v>365</v>
      </c>
      <c r="D45" s="78"/>
      <c r="E45" s="2" t="s">
        <v>214</v>
      </c>
      <c r="F45" s="54">
        <f>'Stavební rozpočet'!F115</f>
        <v>75</v>
      </c>
      <c r="G45" s="54">
        <f>'Stavební rozpočet'!G115</f>
        <v>0</v>
      </c>
      <c r="H45" s="54">
        <f t="shared" si="48"/>
        <v>0</v>
      </c>
      <c r="I45" s="54">
        <f t="shared" si="49"/>
        <v>0</v>
      </c>
      <c r="J45" s="54">
        <f t="shared" si="50"/>
        <v>0</v>
      </c>
      <c r="K45" s="56" t="s">
        <v>120</v>
      </c>
      <c r="Z45" s="54">
        <f t="shared" si="51"/>
        <v>0</v>
      </c>
      <c r="AB45" s="54">
        <f t="shared" si="52"/>
        <v>0</v>
      </c>
      <c r="AC45" s="54">
        <f t="shared" si="53"/>
        <v>0</v>
      </c>
      <c r="AD45" s="54">
        <f t="shared" si="54"/>
        <v>0</v>
      </c>
      <c r="AE45" s="54">
        <f t="shared" si="55"/>
        <v>0</v>
      </c>
      <c r="AF45" s="54">
        <f t="shared" si="56"/>
        <v>0</v>
      </c>
      <c r="AG45" s="54">
        <f t="shared" si="57"/>
        <v>0</v>
      </c>
      <c r="AH45" s="54">
        <f t="shared" si="58"/>
        <v>0</v>
      </c>
      <c r="AI45" s="34" t="s">
        <v>327</v>
      </c>
      <c r="AJ45" s="54">
        <f t="shared" si="59"/>
        <v>0</v>
      </c>
      <c r="AK45" s="54">
        <f t="shared" si="60"/>
        <v>0</v>
      </c>
      <c r="AL45" s="54">
        <f t="shared" si="61"/>
        <v>0</v>
      </c>
      <c r="AN45" s="54">
        <v>21</v>
      </c>
      <c r="AO45" s="54">
        <f t="shared" si="62"/>
        <v>0</v>
      </c>
      <c r="AP45" s="54">
        <f t="shared" si="63"/>
        <v>0</v>
      </c>
      <c r="AQ45" s="57" t="s">
        <v>194</v>
      </c>
      <c r="AV45" s="54">
        <f t="shared" si="64"/>
        <v>0</v>
      </c>
      <c r="AW45" s="54">
        <f t="shared" si="65"/>
        <v>0</v>
      </c>
      <c r="AX45" s="54">
        <f t="shared" si="66"/>
        <v>0</v>
      </c>
      <c r="AY45" s="57" t="s">
        <v>195</v>
      </c>
      <c r="AZ45" s="57" t="s">
        <v>359</v>
      </c>
      <c r="BA45" s="34" t="s">
        <v>332</v>
      </c>
      <c r="BC45" s="54">
        <f t="shared" si="67"/>
        <v>0</v>
      </c>
      <c r="BD45" s="54">
        <f t="shared" si="68"/>
        <v>0</v>
      </c>
      <c r="BE45" s="54">
        <v>0</v>
      </c>
      <c r="BF45" s="54">
        <f>45</f>
        <v>45</v>
      </c>
      <c r="BH45" s="54">
        <f t="shared" si="69"/>
        <v>0</v>
      </c>
      <c r="BI45" s="54">
        <f t="shared" si="70"/>
        <v>0</v>
      </c>
      <c r="BJ45" s="54">
        <f t="shared" si="71"/>
        <v>0</v>
      </c>
      <c r="BK45" s="57" t="s">
        <v>190</v>
      </c>
      <c r="BL45" s="54"/>
      <c r="BW45" s="54">
        <v>21</v>
      </c>
      <c r="BX45" s="3" t="s">
        <v>365</v>
      </c>
    </row>
    <row r="46" spans="1:76" x14ac:dyDescent="0.25">
      <c r="A46" s="1" t="s">
        <v>207</v>
      </c>
      <c r="B46" s="2" t="s">
        <v>367</v>
      </c>
      <c r="C46" s="83" t="s">
        <v>368</v>
      </c>
      <c r="D46" s="78"/>
      <c r="E46" s="2" t="s">
        <v>369</v>
      </c>
      <c r="F46" s="54">
        <f>'Stavební rozpočet'!F116</f>
        <v>0.1</v>
      </c>
      <c r="G46" s="54">
        <f>'Stavební rozpočet'!G116</f>
        <v>0</v>
      </c>
      <c r="H46" s="54">
        <f t="shared" si="48"/>
        <v>0</v>
      </c>
      <c r="I46" s="54">
        <f t="shared" si="49"/>
        <v>0</v>
      </c>
      <c r="J46" s="54">
        <f t="shared" si="50"/>
        <v>0</v>
      </c>
      <c r="K46" s="56" t="s">
        <v>4</v>
      </c>
      <c r="Z46" s="54">
        <f t="shared" si="51"/>
        <v>0</v>
      </c>
      <c r="AB46" s="54">
        <f t="shared" si="52"/>
        <v>0</v>
      </c>
      <c r="AC46" s="54">
        <f t="shared" si="53"/>
        <v>0</v>
      </c>
      <c r="AD46" s="54">
        <f t="shared" si="54"/>
        <v>0</v>
      </c>
      <c r="AE46" s="54">
        <f t="shared" si="55"/>
        <v>0</v>
      </c>
      <c r="AF46" s="54">
        <f t="shared" si="56"/>
        <v>0</v>
      </c>
      <c r="AG46" s="54">
        <f t="shared" si="57"/>
        <v>0</v>
      </c>
      <c r="AH46" s="54">
        <f t="shared" si="58"/>
        <v>0</v>
      </c>
      <c r="AI46" s="34" t="s">
        <v>327</v>
      </c>
      <c r="AJ46" s="54">
        <f t="shared" si="59"/>
        <v>0</v>
      </c>
      <c r="AK46" s="54">
        <f t="shared" si="60"/>
        <v>0</v>
      </c>
      <c r="AL46" s="54">
        <f t="shared" si="61"/>
        <v>0</v>
      </c>
      <c r="AN46" s="54">
        <v>21</v>
      </c>
      <c r="AO46" s="54">
        <f t="shared" si="62"/>
        <v>0</v>
      </c>
      <c r="AP46" s="54">
        <f t="shared" si="63"/>
        <v>0</v>
      </c>
      <c r="AQ46" s="57" t="s">
        <v>194</v>
      </c>
      <c r="AV46" s="54">
        <f t="shared" si="64"/>
        <v>0</v>
      </c>
      <c r="AW46" s="54">
        <f t="shared" si="65"/>
        <v>0</v>
      </c>
      <c r="AX46" s="54">
        <f t="shared" si="66"/>
        <v>0</v>
      </c>
      <c r="AY46" s="57" t="s">
        <v>195</v>
      </c>
      <c r="AZ46" s="57" t="s">
        <v>359</v>
      </c>
      <c r="BA46" s="34" t="s">
        <v>332</v>
      </c>
      <c r="BC46" s="54">
        <f t="shared" si="67"/>
        <v>0</v>
      </c>
      <c r="BD46" s="54">
        <f t="shared" si="68"/>
        <v>0</v>
      </c>
      <c r="BE46" s="54">
        <v>0</v>
      </c>
      <c r="BF46" s="54">
        <f>46</f>
        <v>46</v>
      </c>
      <c r="BH46" s="54">
        <f t="shared" si="69"/>
        <v>0</v>
      </c>
      <c r="BI46" s="54">
        <f t="shared" si="70"/>
        <v>0</v>
      </c>
      <c r="BJ46" s="54">
        <f t="shared" si="71"/>
        <v>0</v>
      </c>
      <c r="BK46" s="57" t="s">
        <v>190</v>
      </c>
      <c r="BL46" s="54"/>
      <c r="BW46" s="54">
        <v>21</v>
      </c>
      <c r="BX46" s="3" t="s">
        <v>368</v>
      </c>
    </row>
    <row r="47" spans="1:76" x14ac:dyDescent="0.25">
      <c r="A47" s="1" t="s">
        <v>211</v>
      </c>
      <c r="B47" s="2" t="s">
        <v>278</v>
      </c>
      <c r="C47" s="83" t="s">
        <v>279</v>
      </c>
      <c r="D47" s="78"/>
      <c r="E47" s="2" t="s">
        <v>177</v>
      </c>
      <c r="F47" s="54">
        <f>'Stavební rozpočet'!F117</f>
        <v>7.7</v>
      </c>
      <c r="G47" s="54">
        <f>'Stavební rozpočet'!G117</f>
        <v>0</v>
      </c>
      <c r="H47" s="54">
        <f t="shared" si="48"/>
        <v>0</v>
      </c>
      <c r="I47" s="54">
        <f t="shared" si="49"/>
        <v>0</v>
      </c>
      <c r="J47" s="54">
        <f t="shared" si="50"/>
        <v>0</v>
      </c>
      <c r="K47" s="56" t="s">
        <v>120</v>
      </c>
      <c r="Z47" s="54">
        <f t="shared" si="51"/>
        <v>0</v>
      </c>
      <c r="AB47" s="54">
        <f t="shared" si="52"/>
        <v>0</v>
      </c>
      <c r="AC47" s="54">
        <f t="shared" si="53"/>
        <v>0</v>
      </c>
      <c r="AD47" s="54">
        <f t="shared" si="54"/>
        <v>0</v>
      </c>
      <c r="AE47" s="54">
        <f t="shared" si="55"/>
        <v>0</v>
      </c>
      <c r="AF47" s="54">
        <f t="shared" si="56"/>
        <v>0</v>
      </c>
      <c r="AG47" s="54">
        <f t="shared" si="57"/>
        <v>0</v>
      </c>
      <c r="AH47" s="54">
        <f t="shared" si="58"/>
        <v>0</v>
      </c>
      <c r="AI47" s="34" t="s">
        <v>327</v>
      </c>
      <c r="AJ47" s="54">
        <f t="shared" si="59"/>
        <v>0</v>
      </c>
      <c r="AK47" s="54">
        <f t="shared" si="60"/>
        <v>0</v>
      </c>
      <c r="AL47" s="54">
        <f t="shared" si="61"/>
        <v>0</v>
      </c>
      <c r="AN47" s="54">
        <v>21</v>
      </c>
      <c r="AO47" s="54">
        <f t="shared" si="62"/>
        <v>0</v>
      </c>
      <c r="AP47" s="54">
        <f t="shared" si="63"/>
        <v>0</v>
      </c>
      <c r="AQ47" s="57" t="s">
        <v>194</v>
      </c>
      <c r="AV47" s="54">
        <f t="shared" si="64"/>
        <v>0</v>
      </c>
      <c r="AW47" s="54">
        <f t="shared" si="65"/>
        <v>0</v>
      </c>
      <c r="AX47" s="54">
        <f t="shared" si="66"/>
        <v>0</v>
      </c>
      <c r="AY47" s="57" t="s">
        <v>195</v>
      </c>
      <c r="AZ47" s="57" t="s">
        <v>359</v>
      </c>
      <c r="BA47" s="34" t="s">
        <v>332</v>
      </c>
      <c r="BC47" s="54">
        <f t="shared" si="67"/>
        <v>0</v>
      </c>
      <c r="BD47" s="54">
        <f t="shared" si="68"/>
        <v>0</v>
      </c>
      <c r="BE47" s="54">
        <v>0</v>
      </c>
      <c r="BF47" s="54">
        <f>47</f>
        <v>47</v>
      </c>
      <c r="BH47" s="54">
        <f t="shared" si="69"/>
        <v>0</v>
      </c>
      <c r="BI47" s="54">
        <f t="shared" si="70"/>
        <v>0</v>
      </c>
      <c r="BJ47" s="54">
        <f t="shared" si="71"/>
        <v>0</v>
      </c>
      <c r="BK47" s="57" t="s">
        <v>190</v>
      </c>
      <c r="BL47" s="54"/>
      <c r="BW47" s="54">
        <v>21</v>
      </c>
      <c r="BX47" s="3" t="s">
        <v>279</v>
      </c>
    </row>
    <row r="48" spans="1:76" x14ac:dyDescent="0.25">
      <c r="A48" s="1" t="s">
        <v>215</v>
      </c>
      <c r="B48" s="2" t="s">
        <v>264</v>
      </c>
      <c r="C48" s="83" t="s">
        <v>372</v>
      </c>
      <c r="D48" s="78"/>
      <c r="E48" s="2" t="s">
        <v>214</v>
      </c>
      <c r="F48" s="54">
        <f>'Stavební rozpočet'!F118</f>
        <v>1147</v>
      </c>
      <c r="G48" s="54">
        <f>'Stavební rozpočet'!G118</f>
        <v>0</v>
      </c>
      <c r="H48" s="54">
        <f t="shared" si="48"/>
        <v>0</v>
      </c>
      <c r="I48" s="54">
        <f t="shared" si="49"/>
        <v>0</v>
      </c>
      <c r="J48" s="54">
        <f t="shared" si="50"/>
        <v>0</v>
      </c>
      <c r="K48" s="56" t="s">
        <v>4</v>
      </c>
      <c r="Z48" s="54">
        <f t="shared" si="51"/>
        <v>0</v>
      </c>
      <c r="AB48" s="54">
        <f t="shared" si="52"/>
        <v>0</v>
      </c>
      <c r="AC48" s="54">
        <f t="shared" si="53"/>
        <v>0</v>
      </c>
      <c r="AD48" s="54">
        <f t="shared" si="54"/>
        <v>0</v>
      </c>
      <c r="AE48" s="54">
        <f t="shared" si="55"/>
        <v>0</v>
      </c>
      <c r="AF48" s="54">
        <f t="shared" si="56"/>
        <v>0</v>
      </c>
      <c r="AG48" s="54">
        <f t="shared" si="57"/>
        <v>0</v>
      </c>
      <c r="AH48" s="54">
        <f t="shared" si="58"/>
        <v>0</v>
      </c>
      <c r="AI48" s="34" t="s">
        <v>327</v>
      </c>
      <c r="AJ48" s="54">
        <f t="shared" si="59"/>
        <v>0</v>
      </c>
      <c r="AK48" s="54">
        <f t="shared" si="60"/>
        <v>0</v>
      </c>
      <c r="AL48" s="54">
        <f t="shared" si="61"/>
        <v>0</v>
      </c>
      <c r="AN48" s="54">
        <v>21</v>
      </c>
      <c r="AO48" s="54">
        <f t="shared" si="62"/>
        <v>0</v>
      </c>
      <c r="AP48" s="54">
        <f t="shared" si="63"/>
        <v>0</v>
      </c>
      <c r="AQ48" s="57" t="s">
        <v>194</v>
      </c>
      <c r="AV48" s="54">
        <f t="shared" si="64"/>
        <v>0</v>
      </c>
      <c r="AW48" s="54">
        <f t="shared" si="65"/>
        <v>0</v>
      </c>
      <c r="AX48" s="54">
        <f t="shared" si="66"/>
        <v>0</v>
      </c>
      <c r="AY48" s="57" t="s">
        <v>195</v>
      </c>
      <c r="AZ48" s="57" t="s">
        <v>359</v>
      </c>
      <c r="BA48" s="34" t="s">
        <v>332</v>
      </c>
      <c r="BC48" s="54">
        <f t="shared" si="67"/>
        <v>0</v>
      </c>
      <c r="BD48" s="54">
        <f t="shared" si="68"/>
        <v>0</v>
      </c>
      <c r="BE48" s="54">
        <v>0</v>
      </c>
      <c r="BF48" s="54">
        <f>48</f>
        <v>48</v>
      </c>
      <c r="BH48" s="54">
        <f t="shared" si="69"/>
        <v>0</v>
      </c>
      <c r="BI48" s="54">
        <f t="shared" si="70"/>
        <v>0</v>
      </c>
      <c r="BJ48" s="54">
        <f t="shared" si="71"/>
        <v>0</v>
      </c>
      <c r="BK48" s="57" t="s">
        <v>190</v>
      </c>
      <c r="BL48" s="54"/>
      <c r="BW48" s="54">
        <v>21</v>
      </c>
      <c r="BX48" s="3" t="s">
        <v>372</v>
      </c>
    </row>
    <row r="49" spans="1:76" x14ac:dyDescent="0.25">
      <c r="A49" s="1" t="s">
        <v>218</v>
      </c>
      <c r="B49" s="2" t="s">
        <v>192</v>
      </c>
      <c r="C49" s="83" t="s">
        <v>193</v>
      </c>
      <c r="D49" s="78"/>
      <c r="E49" s="2" t="s">
        <v>136</v>
      </c>
      <c r="F49" s="54">
        <f>'Stavební rozpočet'!F119</f>
        <v>0.8</v>
      </c>
      <c r="G49" s="54">
        <f>'Stavební rozpočet'!G119</f>
        <v>0</v>
      </c>
      <c r="H49" s="54">
        <f t="shared" si="48"/>
        <v>0</v>
      </c>
      <c r="I49" s="54">
        <f t="shared" si="49"/>
        <v>0</v>
      </c>
      <c r="J49" s="54">
        <f t="shared" si="50"/>
        <v>0</v>
      </c>
      <c r="K49" s="56" t="s">
        <v>120</v>
      </c>
      <c r="Z49" s="54">
        <f t="shared" si="51"/>
        <v>0</v>
      </c>
      <c r="AB49" s="54">
        <f t="shared" si="52"/>
        <v>0</v>
      </c>
      <c r="AC49" s="54">
        <f t="shared" si="53"/>
        <v>0</v>
      </c>
      <c r="AD49" s="54">
        <f t="shared" si="54"/>
        <v>0</v>
      </c>
      <c r="AE49" s="54">
        <f t="shared" si="55"/>
        <v>0</v>
      </c>
      <c r="AF49" s="54">
        <f t="shared" si="56"/>
        <v>0</v>
      </c>
      <c r="AG49" s="54">
        <f t="shared" si="57"/>
        <v>0</v>
      </c>
      <c r="AH49" s="54">
        <f t="shared" si="58"/>
        <v>0</v>
      </c>
      <c r="AI49" s="34" t="s">
        <v>327</v>
      </c>
      <c r="AJ49" s="54">
        <f t="shared" si="59"/>
        <v>0</v>
      </c>
      <c r="AK49" s="54">
        <f t="shared" si="60"/>
        <v>0</v>
      </c>
      <c r="AL49" s="54">
        <f t="shared" si="61"/>
        <v>0</v>
      </c>
      <c r="AN49" s="54">
        <v>21</v>
      </c>
      <c r="AO49" s="54">
        <f t="shared" si="62"/>
        <v>0</v>
      </c>
      <c r="AP49" s="54">
        <f t="shared" si="63"/>
        <v>0</v>
      </c>
      <c r="AQ49" s="57" t="s">
        <v>194</v>
      </c>
      <c r="AV49" s="54">
        <f t="shared" si="64"/>
        <v>0</v>
      </c>
      <c r="AW49" s="54">
        <f t="shared" si="65"/>
        <v>0</v>
      </c>
      <c r="AX49" s="54">
        <f t="shared" si="66"/>
        <v>0</v>
      </c>
      <c r="AY49" s="57" t="s">
        <v>195</v>
      </c>
      <c r="AZ49" s="57" t="s">
        <v>359</v>
      </c>
      <c r="BA49" s="34" t="s">
        <v>332</v>
      </c>
      <c r="BC49" s="54">
        <f t="shared" si="67"/>
        <v>0</v>
      </c>
      <c r="BD49" s="54">
        <f t="shared" si="68"/>
        <v>0</v>
      </c>
      <c r="BE49" s="54">
        <v>0</v>
      </c>
      <c r="BF49" s="54">
        <f>49</f>
        <v>49</v>
      </c>
      <c r="BH49" s="54">
        <f t="shared" si="69"/>
        <v>0</v>
      </c>
      <c r="BI49" s="54">
        <f t="shared" si="70"/>
        <v>0</v>
      </c>
      <c r="BJ49" s="54">
        <f t="shared" si="71"/>
        <v>0</v>
      </c>
      <c r="BK49" s="57" t="s">
        <v>190</v>
      </c>
      <c r="BL49" s="54"/>
      <c r="BW49" s="54">
        <v>21</v>
      </c>
      <c r="BX49" s="3" t="s">
        <v>193</v>
      </c>
    </row>
    <row r="50" spans="1:76" x14ac:dyDescent="0.25">
      <c r="A50" s="60" t="s">
        <v>4</v>
      </c>
      <c r="B50" s="61" t="s">
        <v>4</v>
      </c>
      <c r="C50" s="167" t="s">
        <v>374</v>
      </c>
      <c r="D50" s="168"/>
      <c r="E50" s="62" t="s">
        <v>69</v>
      </c>
      <c r="F50" s="62" t="s">
        <v>69</v>
      </c>
      <c r="G50" s="62" t="s">
        <v>69</v>
      </c>
      <c r="H50" s="63">
        <f>H51</f>
        <v>0</v>
      </c>
      <c r="I50" s="63">
        <f>I51</f>
        <v>0</v>
      </c>
      <c r="J50" s="63">
        <f>J51</f>
        <v>0</v>
      </c>
      <c r="K50" s="64" t="s">
        <v>4</v>
      </c>
    </row>
    <row r="51" spans="1:76" x14ac:dyDescent="0.25">
      <c r="A51" s="49" t="s">
        <v>4</v>
      </c>
      <c r="B51" s="50" t="s">
        <v>190</v>
      </c>
      <c r="C51" s="161" t="s">
        <v>40</v>
      </c>
      <c r="D51" s="162"/>
      <c r="E51" s="51" t="s">
        <v>69</v>
      </c>
      <c r="F51" s="51" t="s">
        <v>69</v>
      </c>
      <c r="G51" s="51" t="s">
        <v>69</v>
      </c>
      <c r="H51" s="28">
        <f>SUM(H52:H55)</f>
        <v>0</v>
      </c>
      <c r="I51" s="28">
        <f>SUM(I52:I55)</f>
        <v>0</v>
      </c>
      <c r="J51" s="28">
        <f>SUM(J52:J55)</f>
        <v>0</v>
      </c>
      <c r="K51" s="53" t="s">
        <v>4</v>
      </c>
      <c r="AI51" s="34" t="s">
        <v>375</v>
      </c>
      <c r="AS51" s="28">
        <f>SUM(AJ52:AJ55)</f>
        <v>0</v>
      </c>
      <c r="AT51" s="28">
        <f>SUM(AK52:AK55)</f>
        <v>0</v>
      </c>
      <c r="AU51" s="28">
        <f>SUM(AL52:AL55)</f>
        <v>0</v>
      </c>
    </row>
    <row r="52" spans="1:76" x14ac:dyDescent="0.25">
      <c r="A52" s="1" t="s">
        <v>225</v>
      </c>
      <c r="B52" s="2" t="s">
        <v>405</v>
      </c>
      <c r="C52" s="83" t="s">
        <v>406</v>
      </c>
      <c r="D52" s="78"/>
      <c r="E52" s="2" t="s">
        <v>276</v>
      </c>
      <c r="F52" s="54">
        <f>'Stavební rozpočet'!F134</f>
        <v>10.94</v>
      </c>
      <c r="G52" s="54">
        <f>'Stavební rozpočet'!G134</f>
        <v>0</v>
      </c>
      <c r="H52" s="54">
        <f>ROUND(F52*AO52,2)</f>
        <v>0</v>
      </c>
      <c r="I52" s="54">
        <f>ROUND(F52*AP52,2)</f>
        <v>0</v>
      </c>
      <c r="J52" s="54">
        <f>ROUND(F52*G52,2)</f>
        <v>0</v>
      </c>
      <c r="K52" s="56" t="s">
        <v>4</v>
      </c>
      <c r="Z52" s="54">
        <f>ROUND(IF(AQ52="5",BJ52,0),2)</f>
        <v>0</v>
      </c>
      <c r="AB52" s="54">
        <f>ROUND(IF(AQ52="1",BH52,0),2)</f>
        <v>0</v>
      </c>
      <c r="AC52" s="54">
        <f>ROUND(IF(AQ52="1",BI52,0),2)</f>
        <v>0</v>
      </c>
      <c r="AD52" s="54">
        <f>ROUND(IF(AQ52="7",BH52,0),2)</f>
        <v>0</v>
      </c>
      <c r="AE52" s="54">
        <f>ROUND(IF(AQ52="7",BI52,0),2)</f>
        <v>0</v>
      </c>
      <c r="AF52" s="54">
        <f>ROUND(IF(AQ52="2",BH52,0),2)</f>
        <v>0</v>
      </c>
      <c r="AG52" s="54">
        <f>ROUND(IF(AQ52="2",BI52,0),2)</f>
        <v>0</v>
      </c>
      <c r="AH52" s="54">
        <f>ROUND(IF(AQ52="0",BJ52,0),2)</f>
        <v>0</v>
      </c>
      <c r="AI52" s="34" t="s">
        <v>375</v>
      </c>
      <c r="AJ52" s="54">
        <f>IF(AN52=0,J52,0)</f>
        <v>0</v>
      </c>
      <c r="AK52" s="54">
        <f>IF(AN52=0,J52,0)</f>
        <v>0</v>
      </c>
      <c r="AL52" s="54">
        <f>IF(AN52=21,J52,0)</f>
        <v>0</v>
      </c>
      <c r="AN52" s="54">
        <v>21</v>
      </c>
      <c r="AO52" s="54">
        <f>G52*1</f>
        <v>0</v>
      </c>
      <c r="AP52" s="54">
        <f>G52*(1-1)</f>
        <v>0</v>
      </c>
      <c r="AQ52" s="57" t="s">
        <v>194</v>
      </c>
      <c r="AV52" s="54">
        <f>ROUND(AW52+AX52,2)</f>
        <v>0</v>
      </c>
      <c r="AW52" s="54">
        <f>ROUND(F52*AO52,2)</f>
        <v>0</v>
      </c>
      <c r="AX52" s="54">
        <f>ROUND(F52*AP52,2)</f>
        <v>0</v>
      </c>
      <c r="AY52" s="57" t="s">
        <v>195</v>
      </c>
      <c r="AZ52" s="57" t="s">
        <v>407</v>
      </c>
      <c r="BA52" s="34" t="s">
        <v>379</v>
      </c>
      <c r="BC52" s="54">
        <f>AW52+AX52</f>
        <v>0</v>
      </c>
      <c r="BD52" s="54">
        <f>G52/(100-BE52)*100</f>
        <v>0</v>
      </c>
      <c r="BE52" s="54">
        <v>0</v>
      </c>
      <c r="BF52" s="54">
        <f>52</f>
        <v>52</v>
      </c>
      <c r="BH52" s="54">
        <f>F52*AO52</f>
        <v>0</v>
      </c>
      <c r="BI52" s="54">
        <f>F52*AP52</f>
        <v>0</v>
      </c>
      <c r="BJ52" s="54">
        <f>F52*G52</f>
        <v>0</v>
      </c>
      <c r="BK52" s="57" t="s">
        <v>190</v>
      </c>
      <c r="BL52" s="54"/>
      <c r="BW52" s="54">
        <v>21</v>
      </c>
      <c r="BX52" s="3" t="s">
        <v>406</v>
      </c>
    </row>
    <row r="53" spans="1:76" x14ac:dyDescent="0.25">
      <c r="A53" s="1" t="s">
        <v>233</v>
      </c>
      <c r="B53" s="2" t="s">
        <v>367</v>
      </c>
      <c r="C53" s="83" t="s">
        <v>368</v>
      </c>
      <c r="D53" s="78"/>
      <c r="E53" s="2" t="s">
        <v>369</v>
      </c>
      <c r="F53" s="54">
        <f>'Stavební rozpočet'!F135</f>
        <v>0.43790000000000001</v>
      </c>
      <c r="G53" s="54">
        <f>'Stavební rozpočet'!G135</f>
        <v>0</v>
      </c>
      <c r="H53" s="54">
        <f>ROUND(F53*AO53,2)</f>
        <v>0</v>
      </c>
      <c r="I53" s="54">
        <f>ROUND(F53*AP53,2)</f>
        <v>0</v>
      </c>
      <c r="J53" s="54">
        <f>ROUND(F53*G53,2)</f>
        <v>0</v>
      </c>
      <c r="K53" s="56" t="s">
        <v>4</v>
      </c>
      <c r="Z53" s="54">
        <f>ROUND(IF(AQ53="5",BJ53,0),2)</f>
        <v>0</v>
      </c>
      <c r="AB53" s="54">
        <f>ROUND(IF(AQ53="1",BH53,0),2)</f>
        <v>0</v>
      </c>
      <c r="AC53" s="54">
        <f>ROUND(IF(AQ53="1",BI53,0),2)</f>
        <v>0</v>
      </c>
      <c r="AD53" s="54">
        <f>ROUND(IF(AQ53="7",BH53,0),2)</f>
        <v>0</v>
      </c>
      <c r="AE53" s="54">
        <f>ROUND(IF(AQ53="7",BI53,0),2)</f>
        <v>0</v>
      </c>
      <c r="AF53" s="54">
        <f>ROUND(IF(AQ53="2",BH53,0),2)</f>
        <v>0</v>
      </c>
      <c r="AG53" s="54">
        <f>ROUND(IF(AQ53="2",BI53,0),2)</f>
        <v>0</v>
      </c>
      <c r="AH53" s="54">
        <f>ROUND(IF(AQ53="0",BJ53,0),2)</f>
        <v>0</v>
      </c>
      <c r="AI53" s="34" t="s">
        <v>375</v>
      </c>
      <c r="AJ53" s="54">
        <f>IF(AN53=0,J53,0)</f>
        <v>0</v>
      </c>
      <c r="AK53" s="54">
        <f>IF(AN53=0,J53,0)</f>
        <v>0</v>
      </c>
      <c r="AL53" s="54">
        <f>IF(AN53=21,J53,0)</f>
        <v>0</v>
      </c>
      <c r="AN53" s="54">
        <v>21</v>
      </c>
      <c r="AO53" s="54">
        <f>G53*1</f>
        <v>0</v>
      </c>
      <c r="AP53" s="54">
        <f>G53*(1-1)</f>
        <v>0</v>
      </c>
      <c r="AQ53" s="57" t="s">
        <v>194</v>
      </c>
      <c r="AV53" s="54">
        <f>ROUND(AW53+AX53,2)</f>
        <v>0</v>
      </c>
      <c r="AW53" s="54">
        <f>ROUND(F53*AO53,2)</f>
        <v>0</v>
      </c>
      <c r="AX53" s="54">
        <f>ROUND(F53*AP53,2)</f>
        <v>0</v>
      </c>
      <c r="AY53" s="57" t="s">
        <v>195</v>
      </c>
      <c r="AZ53" s="57" t="s">
        <v>407</v>
      </c>
      <c r="BA53" s="34" t="s">
        <v>379</v>
      </c>
      <c r="BC53" s="54">
        <f>AW53+AX53</f>
        <v>0</v>
      </c>
      <c r="BD53" s="54">
        <f>G53/(100-BE53)*100</f>
        <v>0</v>
      </c>
      <c r="BE53" s="54">
        <v>0</v>
      </c>
      <c r="BF53" s="54">
        <f>53</f>
        <v>53</v>
      </c>
      <c r="BH53" s="54">
        <f>F53*AO53</f>
        <v>0</v>
      </c>
      <c r="BI53" s="54">
        <f>F53*AP53</f>
        <v>0</v>
      </c>
      <c r="BJ53" s="54">
        <f>F53*G53</f>
        <v>0</v>
      </c>
      <c r="BK53" s="57" t="s">
        <v>190</v>
      </c>
      <c r="BL53" s="54"/>
      <c r="BW53" s="54">
        <v>21</v>
      </c>
      <c r="BX53" s="3" t="s">
        <v>368</v>
      </c>
    </row>
    <row r="54" spans="1:76" x14ac:dyDescent="0.25">
      <c r="A54" s="1" t="s">
        <v>237</v>
      </c>
      <c r="B54" s="2" t="s">
        <v>410</v>
      </c>
      <c r="C54" s="83" t="s">
        <v>411</v>
      </c>
      <c r="D54" s="78"/>
      <c r="E54" s="2" t="s">
        <v>276</v>
      </c>
      <c r="F54" s="54">
        <f>'Stavební rozpočet'!F136</f>
        <v>10.94</v>
      </c>
      <c r="G54" s="54">
        <f>'Stavební rozpočet'!G136</f>
        <v>0</v>
      </c>
      <c r="H54" s="54">
        <f>ROUND(F54*AO54,2)</f>
        <v>0</v>
      </c>
      <c r="I54" s="54">
        <f>ROUND(F54*AP54,2)</f>
        <v>0</v>
      </c>
      <c r="J54" s="54">
        <f>ROUND(F54*G54,2)</f>
        <v>0</v>
      </c>
      <c r="K54" s="56" t="s">
        <v>4</v>
      </c>
      <c r="Z54" s="54">
        <f>ROUND(IF(AQ54="5",BJ54,0),2)</f>
        <v>0</v>
      </c>
      <c r="AB54" s="54">
        <f>ROUND(IF(AQ54="1",BH54,0),2)</f>
        <v>0</v>
      </c>
      <c r="AC54" s="54">
        <f>ROUND(IF(AQ54="1",BI54,0),2)</f>
        <v>0</v>
      </c>
      <c r="AD54" s="54">
        <f>ROUND(IF(AQ54="7",BH54,0),2)</f>
        <v>0</v>
      </c>
      <c r="AE54" s="54">
        <f>ROUND(IF(AQ54="7",BI54,0),2)</f>
        <v>0</v>
      </c>
      <c r="AF54" s="54">
        <f>ROUND(IF(AQ54="2",BH54,0),2)</f>
        <v>0</v>
      </c>
      <c r="AG54" s="54">
        <f>ROUND(IF(AQ54="2",BI54,0),2)</f>
        <v>0</v>
      </c>
      <c r="AH54" s="54">
        <f>ROUND(IF(AQ54="0",BJ54,0),2)</f>
        <v>0</v>
      </c>
      <c r="AI54" s="34" t="s">
        <v>375</v>
      </c>
      <c r="AJ54" s="54">
        <f>IF(AN54=0,J54,0)</f>
        <v>0</v>
      </c>
      <c r="AK54" s="54">
        <f>IF(AN54=0,J54,0)</f>
        <v>0</v>
      </c>
      <c r="AL54" s="54">
        <f>IF(AN54=21,J54,0)</f>
        <v>0</v>
      </c>
      <c r="AN54" s="54">
        <v>21</v>
      </c>
      <c r="AO54" s="54">
        <f>G54*1</f>
        <v>0</v>
      </c>
      <c r="AP54" s="54">
        <f>G54*(1-1)</f>
        <v>0</v>
      </c>
      <c r="AQ54" s="57" t="s">
        <v>194</v>
      </c>
      <c r="AV54" s="54">
        <f>ROUND(AW54+AX54,2)</f>
        <v>0</v>
      </c>
      <c r="AW54" s="54">
        <f>ROUND(F54*AO54,2)</f>
        <v>0</v>
      </c>
      <c r="AX54" s="54">
        <f>ROUND(F54*AP54,2)</f>
        <v>0</v>
      </c>
      <c r="AY54" s="57" t="s">
        <v>195</v>
      </c>
      <c r="AZ54" s="57" t="s">
        <v>407</v>
      </c>
      <c r="BA54" s="34" t="s">
        <v>379</v>
      </c>
      <c r="BC54" s="54">
        <f>AW54+AX54</f>
        <v>0</v>
      </c>
      <c r="BD54" s="54">
        <f>G54/(100-BE54)*100</f>
        <v>0</v>
      </c>
      <c r="BE54" s="54">
        <v>0</v>
      </c>
      <c r="BF54" s="54">
        <f>54</f>
        <v>54</v>
      </c>
      <c r="BH54" s="54">
        <f>F54*AO54</f>
        <v>0</v>
      </c>
      <c r="BI54" s="54">
        <f>F54*AP54</f>
        <v>0</v>
      </c>
      <c r="BJ54" s="54">
        <f>F54*G54</f>
        <v>0</v>
      </c>
      <c r="BK54" s="57" t="s">
        <v>190</v>
      </c>
      <c r="BL54" s="54"/>
      <c r="BW54" s="54">
        <v>21</v>
      </c>
      <c r="BX54" s="3" t="s">
        <v>411</v>
      </c>
    </row>
    <row r="55" spans="1:76" x14ac:dyDescent="0.25">
      <c r="A55" s="1" t="s">
        <v>240</v>
      </c>
      <c r="B55" s="2" t="s">
        <v>278</v>
      </c>
      <c r="C55" s="83" t="s">
        <v>279</v>
      </c>
      <c r="D55" s="78"/>
      <c r="E55" s="2" t="s">
        <v>177</v>
      </c>
      <c r="F55" s="54">
        <f>'Stavební rozpočet'!F137</f>
        <v>4.38</v>
      </c>
      <c r="G55" s="54">
        <f>'Stavební rozpočet'!G137</f>
        <v>0</v>
      </c>
      <c r="H55" s="54">
        <f>ROUND(F55*AO55,2)</f>
        <v>0</v>
      </c>
      <c r="I55" s="54">
        <f>ROUND(F55*AP55,2)</f>
        <v>0</v>
      </c>
      <c r="J55" s="54">
        <f>ROUND(F55*G55,2)</f>
        <v>0</v>
      </c>
      <c r="K55" s="56" t="s">
        <v>120</v>
      </c>
      <c r="Z55" s="54">
        <f>ROUND(IF(AQ55="5",BJ55,0),2)</f>
        <v>0</v>
      </c>
      <c r="AB55" s="54">
        <f>ROUND(IF(AQ55="1",BH55,0),2)</f>
        <v>0</v>
      </c>
      <c r="AC55" s="54">
        <f>ROUND(IF(AQ55="1",BI55,0),2)</f>
        <v>0</v>
      </c>
      <c r="AD55" s="54">
        <f>ROUND(IF(AQ55="7",BH55,0),2)</f>
        <v>0</v>
      </c>
      <c r="AE55" s="54">
        <f>ROUND(IF(AQ55="7",BI55,0),2)</f>
        <v>0</v>
      </c>
      <c r="AF55" s="54">
        <f>ROUND(IF(AQ55="2",BH55,0),2)</f>
        <v>0</v>
      </c>
      <c r="AG55" s="54">
        <f>ROUND(IF(AQ55="2",BI55,0),2)</f>
        <v>0</v>
      </c>
      <c r="AH55" s="54">
        <f>ROUND(IF(AQ55="0",BJ55,0),2)</f>
        <v>0</v>
      </c>
      <c r="AI55" s="34" t="s">
        <v>375</v>
      </c>
      <c r="AJ55" s="54">
        <f>IF(AN55=0,J55,0)</f>
        <v>0</v>
      </c>
      <c r="AK55" s="54">
        <f>IF(AN55=0,J55,0)</f>
        <v>0</v>
      </c>
      <c r="AL55" s="54">
        <f>IF(AN55=21,J55,0)</f>
        <v>0</v>
      </c>
      <c r="AN55" s="54">
        <v>21</v>
      </c>
      <c r="AO55" s="54">
        <f>G55*1</f>
        <v>0</v>
      </c>
      <c r="AP55" s="54">
        <f>G55*(1-1)</f>
        <v>0</v>
      </c>
      <c r="AQ55" s="57" t="s">
        <v>194</v>
      </c>
      <c r="AV55" s="54">
        <f>ROUND(AW55+AX55,2)</f>
        <v>0</v>
      </c>
      <c r="AW55" s="54">
        <f>ROUND(F55*AO55,2)</f>
        <v>0</v>
      </c>
      <c r="AX55" s="54">
        <f>ROUND(F55*AP55,2)</f>
        <v>0</v>
      </c>
      <c r="AY55" s="57" t="s">
        <v>195</v>
      </c>
      <c r="AZ55" s="57" t="s">
        <v>407</v>
      </c>
      <c r="BA55" s="34" t="s">
        <v>379</v>
      </c>
      <c r="BC55" s="54">
        <f>AW55+AX55</f>
        <v>0</v>
      </c>
      <c r="BD55" s="54">
        <f>G55/(100-BE55)*100</f>
        <v>0</v>
      </c>
      <c r="BE55" s="54">
        <v>0</v>
      </c>
      <c r="BF55" s="54">
        <f>55</f>
        <v>55</v>
      </c>
      <c r="BH55" s="54">
        <f>F55*AO55</f>
        <v>0</v>
      </c>
      <c r="BI55" s="54">
        <f>F55*AP55</f>
        <v>0</v>
      </c>
      <c r="BJ55" s="54">
        <f>F55*G55</f>
        <v>0</v>
      </c>
      <c r="BK55" s="57" t="s">
        <v>190</v>
      </c>
      <c r="BL55" s="54"/>
      <c r="BW55" s="54">
        <v>21</v>
      </c>
      <c r="BX55" s="3" t="s">
        <v>279</v>
      </c>
    </row>
    <row r="56" spans="1:76" x14ac:dyDescent="0.25">
      <c r="A56" s="60" t="s">
        <v>4</v>
      </c>
      <c r="B56" s="61" t="s">
        <v>4</v>
      </c>
      <c r="C56" s="167" t="s">
        <v>413</v>
      </c>
      <c r="D56" s="168"/>
      <c r="E56" s="62" t="s">
        <v>69</v>
      </c>
      <c r="F56" s="62" t="s">
        <v>69</v>
      </c>
      <c r="G56" s="62" t="s">
        <v>69</v>
      </c>
      <c r="H56" s="63">
        <f>H57+H60</f>
        <v>0</v>
      </c>
      <c r="I56" s="63">
        <f>I57+I60</f>
        <v>0</v>
      </c>
      <c r="J56" s="63">
        <f>J57+J60</f>
        <v>0</v>
      </c>
      <c r="K56" s="64" t="s">
        <v>4</v>
      </c>
    </row>
    <row r="57" spans="1:76" x14ac:dyDescent="0.25">
      <c r="A57" s="49" t="s">
        <v>4</v>
      </c>
      <c r="B57" s="50" t="s">
        <v>180</v>
      </c>
      <c r="C57" s="161" t="s">
        <v>457</v>
      </c>
      <c r="D57" s="162"/>
      <c r="E57" s="51" t="s">
        <v>69</v>
      </c>
      <c r="F57" s="51" t="s">
        <v>69</v>
      </c>
      <c r="G57" s="51" t="s">
        <v>69</v>
      </c>
      <c r="H57" s="28">
        <f>SUM(H58:H58)</f>
        <v>0</v>
      </c>
      <c r="I57" s="28">
        <f>SUM(I58:I58)</f>
        <v>0</v>
      </c>
      <c r="J57" s="28">
        <f>SUM(J58:J58)</f>
        <v>0</v>
      </c>
      <c r="K57" s="53" t="s">
        <v>4</v>
      </c>
      <c r="AI57" s="34" t="s">
        <v>414</v>
      </c>
      <c r="AS57" s="28">
        <f>SUM(AJ58:AJ58)</f>
        <v>0</v>
      </c>
      <c r="AT57" s="28">
        <f>SUM(AK58:AK58)</f>
        <v>0</v>
      </c>
      <c r="AU57" s="28">
        <f>SUM(AL58:AL58)</f>
        <v>0</v>
      </c>
    </row>
    <row r="58" spans="1:76" x14ac:dyDescent="0.25">
      <c r="A58" s="1" t="s">
        <v>243</v>
      </c>
      <c r="B58" s="2" t="s">
        <v>459</v>
      </c>
      <c r="C58" s="83" t="s">
        <v>460</v>
      </c>
      <c r="D58" s="78"/>
      <c r="E58" s="2" t="s">
        <v>136</v>
      </c>
      <c r="F58" s="54">
        <f>'Stavební rozpočet'!F158</f>
        <v>0.13</v>
      </c>
      <c r="G58" s="54">
        <f>'Stavební rozpočet'!G158</f>
        <v>0</v>
      </c>
      <c r="H58" s="54">
        <f>ROUND(F58*AO58,2)</f>
        <v>0</v>
      </c>
      <c r="I58" s="54">
        <f>ROUND(F58*AP58,2)</f>
        <v>0</v>
      </c>
      <c r="J58" s="54">
        <f>ROUND(F58*G58,2)</f>
        <v>0</v>
      </c>
      <c r="K58" s="56" t="s">
        <v>120</v>
      </c>
      <c r="Z58" s="54">
        <f>ROUND(IF(AQ58="5",BJ58,0),2)</f>
        <v>0</v>
      </c>
      <c r="AB58" s="54">
        <f>ROUND(IF(AQ58="1",BH58,0),2)</f>
        <v>0</v>
      </c>
      <c r="AC58" s="54">
        <f>ROUND(IF(AQ58="1",BI58,0),2)</f>
        <v>0</v>
      </c>
      <c r="AD58" s="54">
        <f>ROUND(IF(AQ58="7",BH58,0),2)</f>
        <v>0</v>
      </c>
      <c r="AE58" s="54">
        <f>ROUND(IF(AQ58="7",BI58,0),2)</f>
        <v>0</v>
      </c>
      <c r="AF58" s="54">
        <f>ROUND(IF(AQ58="2",BH58,0),2)</f>
        <v>0</v>
      </c>
      <c r="AG58" s="54">
        <f>ROUND(IF(AQ58="2",BI58,0),2)</f>
        <v>0</v>
      </c>
      <c r="AH58" s="54">
        <f>ROUND(IF(AQ58="0",BJ58,0),2)</f>
        <v>0</v>
      </c>
      <c r="AI58" s="34" t="s">
        <v>414</v>
      </c>
      <c r="AJ58" s="54">
        <f>IF(AN58=0,J58,0)</f>
        <v>0</v>
      </c>
      <c r="AK58" s="54">
        <f>IF(AN58=0,J58,0)</f>
        <v>0</v>
      </c>
      <c r="AL58" s="54">
        <f>IF(AN58=21,J58,0)</f>
        <v>0</v>
      </c>
      <c r="AN58" s="54">
        <v>21</v>
      </c>
      <c r="AO58" s="54">
        <f>G58*1</f>
        <v>0</v>
      </c>
      <c r="AP58" s="54">
        <f>G58*(1-1)</f>
        <v>0</v>
      </c>
      <c r="AQ58" s="57" t="s">
        <v>108</v>
      </c>
      <c r="AV58" s="54">
        <f>ROUND(AW58+AX58,2)</f>
        <v>0</v>
      </c>
      <c r="AW58" s="54">
        <f>ROUND(F58*AO58,2)</f>
        <v>0</v>
      </c>
      <c r="AX58" s="54">
        <f>ROUND(F58*AP58,2)</f>
        <v>0</v>
      </c>
      <c r="AY58" s="57" t="s">
        <v>461</v>
      </c>
      <c r="AZ58" s="57" t="s">
        <v>419</v>
      </c>
      <c r="BA58" s="34" t="s">
        <v>420</v>
      </c>
      <c r="BC58" s="54">
        <f>AW58+AX58</f>
        <v>0</v>
      </c>
      <c r="BD58" s="54">
        <f>G58/(100-BE58)*100</f>
        <v>0</v>
      </c>
      <c r="BE58" s="54">
        <v>0</v>
      </c>
      <c r="BF58" s="54">
        <f>58</f>
        <v>58</v>
      </c>
      <c r="BH58" s="54">
        <f>F58*AO58</f>
        <v>0</v>
      </c>
      <c r="BI58" s="54">
        <f>F58*AP58</f>
        <v>0</v>
      </c>
      <c r="BJ58" s="54">
        <f>F58*G58</f>
        <v>0</v>
      </c>
      <c r="BK58" s="57" t="s">
        <v>190</v>
      </c>
      <c r="BL58" s="54">
        <v>17</v>
      </c>
      <c r="BW58" s="54">
        <v>21</v>
      </c>
      <c r="BX58" s="3" t="s">
        <v>460</v>
      </c>
    </row>
    <row r="59" spans="1:76" ht="40.5" customHeight="1" x14ac:dyDescent="0.25">
      <c r="A59" s="58"/>
      <c r="B59" s="59" t="s">
        <v>53</v>
      </c>
      <c r="C59" s="163" t="s">
        <v>462</v>
      </c>
      <c r="D59" s="164"/>
      <c r="E59" s="164"/>
      <c r="F59" s="164"/>
      <c r="G59" s="164"/>
      <c r="H59" s="164"/>
      <c r="I59" s="164"/>
      <c r="J59" s="164"/>
      <c r="K59" s="166"/>
    </row>
    <row r="60" spans="1:76" x14ac:dyDescent="0.25">
      <c r="A60" s="49" t="s">
        <v>4</v>
      </c>
      <c r="B60" s="50" t="s">
        <v>190</v>
      </c>
      <c r="C60" s="161" t="s">
        <v>40</v>
      </c>
      <c r="D60" s="162"/>
      <c r="E60" s="51" t="s">
        <v>69</v>
      </c>
      <c r="F60" s="51" t="s">
        <v>69</v>
      </c>
      <c r="G60" s="51" t="s">
        <v>69</v>
      </c>
      <c r="H60" s="28">
        <f>SUM(H61:H64)</f>
        <v>0</v>
      </c>
      <c r="I60" s="28">
        <f>SUM(I61:I64)</f>
        <v>0</v>
      </c>
      <c r="J60" s="28">
        <f>SUM(J61:J64)</f>
        <v>0</v>
      </c>
      <c r="K60" s="53" t="s">
        <v>4</v>
      </c>
      <c r="AI60" s="34" t="s">
        <v>414</v>
      </c>
      <c r="AS60" s="28">
        <f>SUM(AJ61:AJ64)</f>
        <v>0</v>
      </c>
      <c r="AT60" s="28">
        <f>SUM(AK61:AK64)</f>
        <v>0</v>
      </c>
      <c r="AU60" s="28">
        <f>SUM(AL61:AL64)</f>
        <v>0</v>
      </c>
    </row>
    <row r="61" spans="1:76" x14ac:dyDescent="0.25">
      <c r="A61" s="1" t="s">
        <v>246</v>
      </c>
      <c r="B61" s="2" t="s">
        <v>467</v>
      </c>
      <c r="C61" s="83" t="s">
        <v>468</v>
      </c>
      <c r="D61" s="78"/>
      <c r="E61" s="2" t="s">
        <v>136</v>
      </c>
      <c r="F61" s="54">
        <f>'Stavební rozpočet'!F163</f>
        <v>29.2</v>
      </c>
      <c r="G61" s="54">
        <f>'Stavební rozpočet'!G163</f>
        <v>0</v>
      </c>
      <c r="H61" s="54">
        <f>ROUND(F61*AO61,2)</f>
        <v>0</v>
      </c>
      <c r="I61" s="54">
        <f>ROUND(F61*AP61,2)</f>
        <v>0</v>
      </c>
      <c r="J61" s="54">
        <f>ROUND(F61*G61,2)</f>
        <v>0</v>
      </c>
      <c r="K61" s="56" t="s">
        <v>120</v>
      </c>
      <c r="Z61" s="54">
        <f>ROUND(IF(AQ61="5",BJ61,0),2)</f>
        <v>0</v>
      </c>
      <c r="AB61" s="54">
        <f>ROUND(IF(AQ61="1",BH61,0),2)</f>
        <v>0</v>
      </c>
      <c r="AC61" s="54">
        <f>ROUND(IF(AQ61="1",BI61,0),2)</f>
        <v>0</v>
      </c>
      <c r="AD61" s="54">
        <f>ROUND(IF(AQ61="7",BH61,0),2)</f>
        <v>0</v>
      </c>
      <c r="AE61" s="54">
        <f>ROUND(IF(AQ61="7",BI61,0),2)</f>
        <v>0</v>
      </c>
      <c r="AF61" s="54">
        <f>ROUND(IF(AQ61="2",BH61,0),2)</f>
        <v>0</v>
      </c>
      <c r="AG61" s="54">
        <f>ROUND(IF(AQ61="2",BI61,0),2)</f>
        <v>0</v>
      </c>
      <c r="AH61" s="54">
        <f>ROUND(IF(AQ61="0",BJ61,0),2)</f>
        <v>0</v>
      </c>
      <c r="AI61" s="34" t="s">
        <v>414</v>
      </c>
      <c r="AJ61" s="54">
        <f>IF(AN61=0,J61,0)</f>
        <v>0</v>
      </c>
      <c r="AK61" s="54">
        <f>IF(AN61=0,J61,0)</f>
        <v>0</v>
      </c>
      <c r="AL61" s="54">
        <f>IF(AN61=21,J61,0)</f>
        <v>0</v>
      </c>
      <c r="AN61" s="54">
        <v>21</v>
      </c>
      <c r="AO61" s="54">
        <f>G61*1</f>
        <v>0</v>
      </c>
      <c r="AP61" s="54">
        <f>G61*(1-1)</f>
        <v>0</v>
      </c>
      <c r="AQ61" s="57" t="s">
        <v>194</v>
      </c>
      <c r="AV61" s="54">
        <f>ROUND(AW61+AX61,2)</f>
        <v>0</v>
      </c>
      <c r="AW61" s="54">
        <f>ROUND(F61*AO61,2)</f>
        <v>0</v>
      </c>
      <c r="AX61" s="54">
        <f>ROUND(F61*AP61,2)</f>
        <v>0</v>
      </c>
      <c r="AY61" s="57" t="s">
        <v>195</v>
      </c>
      <c r="AZ61" s="57" t="s">
        <v>469</v>
      </c>
      <c r="BA61" s="34" t="s">
        <v>420</v>
      </c>
      <c r="BC61" s="54">
        <f>AW61+AX61</f>
        <v>0</v>
      </c>
      <c r="BD61" s="54">
        <f>G61/(100-BE61)*100</f>
        <v>0</v>
      </c>
      <c r="BE61" s="54">
        <v>0</v>
      </c>
      <c r="BF61" s="54">
        <f>61</f>
        <v>61</v>
      </c>
      <c r="BH61" s="54">
        <f>F61*AO61</f>
        <v>0</v>
      </c>
      <c r="BI61" s="54">
        <f>F61*AP61</f>
        <v>0</v>
      </c>
      <c r="BJ61" s="54">
        <f>F61*G61</f>
        <v>0</v>
      </c>
      <c r="BK61" s="57" t="s">
        <v>190</v>
      </c>
      <c r="BL61" s="54"/>
      <c r="BW61" s="54">
        <v>21</v>
      </c>
      <c r="BX61" s="3" t="s">
        <v>468</v>
      </c>
    </row>
    <row r="62" spans="1:76" x14ac:dyDescent="0.25">
      <c r="A62" s="1" t="s">
        <v>249</v>
      </c>
      <c r="B62" s="2" t="s">
        <v>471</v>
      </c>
      <c r="C62" s="83" t="s">
        <v>472</v>
      </c>
      <c r="D62" s="78"/>
      <c r="E62" s="2" t="s">
        <v>136</v>
      </c>
      <c r="F62" s="54">
        <f>'Stavební rozpočet'!F164</f>
        <v>6.19</v>
      </c>
      <c r="G62" s="54">
        <f>'Stavební rozpočet'!G164</f>
        <v>0</v>
      </c>
      <c r="H62" s="54">
        <f>ROUND(F62*AO62,2)</f>
        <v>0</v>
      </c>
      <c r="I62" s="54">
        <f>ROUND(F62*AP62,2)</f>
        <v>0</v>
      </c>
      <c r="J62" s="54">
        <f>ROUND(F62*G62,2)</f>
        <v>0</v>
      </c>
      <c r="K62" s="56" t="s">
        <v>120</v>
      </c>
      <c r="Z62" s="54">
        <f>ROUND(IF(AQ62="5",BJ62,0),2)</f>
        <v>0</v>
      </c>
      <c r="AB62" s="54">
        <f>ROUND(IF(AQ62="1",BH62,0),2)</f>
        <v>0</v>
      </c>
      <c r="AC62" s="54">
        <f>ROUND(IF(AQ62="1",BI62,0),2)</f>
        <v>0</v>
      </c>
      <c r="AD62" s="54">
        <f>ROUND(IF(AQ62="7",BH62,0),2)</f>
        <v>0</v>
      </c>
      <c r="AE62" s="54">
        <f>ROUND(IF(AQ62="7",BI62,0),2)</f>
        <v>0</v>
      </c>
      <c r="AF62" s="54">
        <f>ROUND(IF(AQ62="2",BH62,0),2)</f>
        <v>0</v>
      </c>
      <c r="AG62" s="54">
        <f>ROUND(IF(AQ62="2",BI62,0),2)</f>
        <v>0</v>
      </c>
      <c r="AH62" s="54">
        <f>ROUND(IF(AQ62="0",BJ62,0),2)</f>
        <v>0</v>
      </c>
      <c r="AI62" s="34" t="s">
        <v>414</v>
      </c>
      <c r="AJ62" s="54">
        <f>IF(AN62=0,J62,0)</f>
        <v>0</v>
      </c>
      <c r="AK62" s="54">
        <f>IF(AN62=0,J62,0)</f>
        <v>0</v>
      </c>
      <c r="AL62" s="54">
        <f>IF(AN62=21,J62,0)</f>
        <v>0</v>
      </c>
      <c r="AN62" s="54">
        <v>21</v>
      </c>
      <c r="AO62" s="54">
        <f>G62*1</f>
        <v>0</v>
      </c>
      <c r="AP62" s="54">
        <f>G62*(1-1)</f>
        <v>0</v>
      </c>
      <c r="AQ62" s="57" t="s">
        <v>194</v>
      </c>
      <c r="AV62" s="54">
        <f>ROUND(AW62+AX62,2)</f>
        <v>0</v>
      </c>
      <c r="AW62" s="54">
        <f>ROUND(F62*AO62,2)</f>
        <v>0</v>
      </c>
      <c r="AX62" s="54">
        <f>ROUND(F62*AP62,2)</f>
        <v>0</v>
      </c>
      <c r="AY62" s="57" t="s">
        <v>195</v>
      </c>
      <c r="AZ62" s="57" t="s">
        <v>469</v>
      </c>
      <c r="BA62" s="34" t="s">
        <v>420</v>
      </c>
      <c r="BC62" s="54">
        <f>AW62+AX62</f>
        <v>0</v>
      </c>
      <c r="BD62" s="54">
        <f>G62/(100-BE62)*100</f>
        <v>0</v>
      </c>
      <c r="BE62" s="54">
        <v>0</v>
      </c>
      <c r="BF62" s="54">
        <f>62</f>
        <v>62</v>
      </c>
      <c r="BH62" s="54">
        <f>F62*AO62</f>
        <v>0</v>
      </c>
      <c r="BI62" s="54">
        <f>F62*AP62</f>
        <v>0</v>
      </c>
      <c r="BJ62" s="54">
        <f>F62*G62</f>
        <v>0</v>
      </c>
      <c r="BK62" s="57" t="s">
        <v>190</v>
      </c>
      <c r="BL62" s="54"/>
      <c r="BW62" s="54">
        <v>21</v>
      </c>
      <c r="BX62" s="3" t="s">
        <v>472</v>
      </c>
    </row>
    <row r="63" spans="1:76" x14ac:dyDescent="0.25">
      <c r="A63" s="1" t="s">
        <v>252</v>
      </c>
      <c r="B63" s="2" t="s">
        <v>278</v>
      </c>
      <c r="C63" s="83" t="s">
        <v>279</v>
      </c>
      <c r="D63" s="78"/>
      <c r="E63" s="2" t="s">
        <v>177</v>
      </c>
      <c r="F63" s="54">
        <f>'Stavební rozpočet'!F165</f>
        <v>0.7</v>
      </c>
      <c r="G63" s="54">
        <f>'Stavební rozpočet'!G165</f>
        <v>0</v>
      </c>
      <c r="H63" s="54">
        <f>ROUND(F63*AO63,2)</f>
        <v>0</v>
      </c>
      <c r="I63" s="54">
        <f>ROUND(F63*AP63,2)</f>
        <v>0</v>
      </c>
      <c r="J63" s="54">
        <f>ROUND(F63*G63,2)</f>
        <v>0</v>
      </c>
      <c r="K63" s="56" t="s">
        <v>120</v>
      </c>
      <c r="Z63" s="54">
        <f>ROUND(IF(AQ63="5",BJ63,0),2)</f>
        <v>0</v>
      </c>
      <c r="AB63" s="54">
        <f>ROUND(IF(AQ63="1",BH63,0),2)</f>
        <v>0</v>
      </c>
      <c r="AC63" s="54">
        <f>ROUND(IF(AQ63="1",BI63,0),2)</f>
        <v>0</v>
      </c>
      <c r="AD63" s="54">
        <f>ROUND(IF(AQ63="7",BH63,0),2)</f>
        <v>0</v>
      </c>
      <c r="AE63" s="54">
        <f>ROUND(IF(AQ63="7",BI63,0),2)</f>
        <v>0</v>
      </c>
      <c r="AF63" s="54">
        <f>ROUND(IF(AQ63="2",BH63,0),2)</f>
        <v>0</v>
      </c>
      <c r="AG63" s="54">
        <f>ROUND(IF(AQ63="2",BI63,0),2)</f>
        <v>0</v>
      </c>
      <c r="AH63" s="54">
        <f>ROUND(IF(AQ63="0",BJ63,0),2)</f>
        <v>0</v>
      </c>
      <c r="AI63" s="34" t="s">
        <v>414</v>
      </c>
      <c r="AJ63" s="54">
        <f>IF(AN63=0,J63,0)</f>
        <v>0</v>
      </c>
      <c r="AK63" s="54">
        <f>IF(AN63=0,J63,0)</f>
        <v>0</v>
      </c>
      <c r="AL63" s="54">
        <f>IF(AN63=21,J63,0)</f>
        <v>0</v>
      </c>
      <c r="AN63" s="54">
        <v>21</v>
      </c>
      <c r="AO63" s="54">
        <f>G63*1</f>
        <v>0</v>
      </c>
      <c r="AP63" s="54">
        <f>G63*(1-1)</f>
        <v>0</v>
      </c>
      <c r="AQ63" s="57" t="s">
        <v>194</v>
      </c>
      <c r="AV63" s="54">
        <f>ROUND(AW63+AX63,2)</f>
        <v>0</v>
      </c>
      <c r="AW63" s="54">
        <f>ROUND(F63*AO63,2)</f>
        <v>0</v>
      </c>
      <c r="AX63" s="54">
        <f>ROUND(F63*AP63,2)</f>
        <v>0</v>
      </c>
      <c r="AY63" s="57" t="s">
        <v>195</v>
      </c>
      <c r="AZ63" s="57" t="s">
        <v>469</v>
      </c>
      <c r="BA63" s="34" t="s">
        <v>420</v>
      </c>
      <c r="BC63" s="54">
        <f>AW63+AX63</f>
        <v>0</v>
      </c>
      <c r="BD63" s="54">
        <f>G63/(100-BE63)*100</f>
        <v>0</v>
      </c>
      <c r="BE63" s="54">
        <v>0</v>
      </c>
      <c r="BF63" s="54">
        <f>63</f>
        <v>63</v>
      </c>
      <c r="BH63" s="54">
        <f>F63*AO63</f>
        <v>0</v>
      </c>
      <c r="BI63" s="54">
        <f>F63*AP63</f>
        <v>0</v>
      </c>
      <c r="BJ63" s="54">
        <f>F63*G63</f>
        <v>0</v>
      </c>
      <c r="BK63" s="57" t="s">
        <v>190</v>
      </c>
      <c r="BL63" s="54"/>
      <c r="BW63" s="54">
        <v>21</v>
      </c>
      <c r="BX63" s="3" t="s">
        <v>279</v>
      </c>
    </row>
    <row r="64" spans="1:76" x14ac:dyDescent="0.25">
      <c r="A64" s="1" t="s">
        <v>255</v>
      </c>
      <c r="B64" s="2" t="s">
        <v>475</v>
      </c>
      <c r="C64" s="83" t="s">
        <v>476</v>
      </c>
      <c r="D64" s="78"/>
      <c r="E64" s="2" t="s">
        <v>136</v>
      </c>
      <c r="F64" s="54">
        <f>'Stavební rozpočet'!F166</f>
        <v>3.65</v>
      </c>
      <c r="G64" s="54">
        <f>'Stavební rozpočet'!G166</f>
        <v>0</v>
      </c>
      <c r="H64" s="54">
        <f>ROUND(F64*AO64,2)</f>
        <v>0</v>
      </c>
      <c r="I64" s="54">
        <f>ROUND(F64*AP64,2)</f>
        <v>0</v>
      </c>
      <c r="J64" s="54">
        <f>ROUND(F64*G64,2)</f>
        <v>0</v>
      </c>
      <c r="K64" s="56" t="s">
        <v>4</v>
      </c>
      <c r="Z64" s="54">
        <f>ROUND(IF(AQ64="5",BJ64,0),2)</f>
        <v>0</v>
      </c>
      <c r="AB64" s="54">
        <f>ROUND(IF(AQ64="1",BH64,0),2)</f>
        <v>0</v>
      </c>
      <c r="AC64" s="54">
        <f>ROUND(IF(AQ64="1",BI64,0),2)</f>
        <v>0</v>
      </c>
      <c r="AD64" s="54">
        <f>ROUND(IF(AQ64="7",BH64,0),2)</f>
        <v>0</v>
      </c>
      <c r="AE64" s="54">
        <f>ROUND(IF(AQ64="7",BI64,0),2)</f>
        <v>0</v>
      </c>
      <c r="AF64" s="54">
        <f>ROUND(IF(AQ64="2",BH64,0),2)</f>
        <v>0</v>
      </c>
      <c r="AG64" s="54">
        <f>ROUND(IF(AQ64="2",BI64,0),2)</f>
        <v>0</v>
      </c>
      <c r="AH64" s="54">
        <f>ROUND(IF(AQ64="0",BJ64,0),2)</f>
        <v>0</v>
      </c>
      <c r="AI64" s="34" t="s">
        <v>414</v>
      </c>
      <c r="AJ64" s="54">
        <f>IF(AN64=0,J64,0)</f>
        <v>0</v>
      </c>
      <c r="AK64" s="54">
        <f>IF(AN64=0,J64,0)</f>
        <v>0</v>
      </c>
      <c r="AL64" s="54">
        <f>IF(AN64=21,J64,0)</f>
        <v>0</v>
      </c>
      <c r="AN64" s="54">
        <v>21</v>
      </c>
      <c r="AO64" s="54">
        <f>G64*1</f>
        <v>0</v>
      </c>
      <c r="AP64" s="54">
        <f>G64*(1-1)</f>
        <v>0</v>
      </c>
      <c r="AQ64" s="57" t="s">
        <v>194</v>
      </c>
      <c r="AV64" s="54">
        <f>ROUND(AW64+AX64,2)</f>
        <v>0</v>
      </c>
      <c r="AW64" s="54">
        <f>ROUND(F64*AO64,2)</f>
        <v>0</v>
      </c>
      <c r="AX64" s="54">
        <f>ROUND(F64*AP64,2)</f>
        <v>0</v>
      </c>
      <c r="AY64" s="57" t="s">
        <v>195</v>
      </c>
      <c r="AZ64" s="57" t="s">
        <v>469</v>
      </c>
      <c r="BA64" s="34" t="s">
        <v>420</v>
      </c>
      <c r="BC64" s="54">
        <f>AW64+AX64</f>
        <v>0</v>
      </c>
      <c r="BD64" s="54">
        <f>G64/(100-BE64)*100</f>
        <v>0</v>
      </c>
      <c r="BE64" s="54">
        <v>0</v>
      </c>
      <c r="BF64" s="54">
        <f>64</f>
        <v>64</v>
      </c>
      <c r="BH64" s="54">
        <f>F64*AO64</f>
        <v>0</v>
      </c>
      <c r="BI64" s="54">
        <f>F64*AP64</f>
        <v>0</v>
      </c>
      <c r="BJ64" s="54">
        <f>F64*G64</f>
        <v>0</v>
      </c>
      <c r="BK64" s="57" t="s">
        <v>190</v>
      </c>
      <c r="BL64" s="54"/>
      <c r="BW64" s="54">
        <v>21</v>
      </c>
      <c r="BX64" s="3" t="s">
        <v>476</v>
      </c>
    </row>
    <row r="65" spans="1:76" ht="108" customHeight="1" x14ac:dyDescent="0.25">
      <c r="A65" s="58"/>
      <c r="B65" s="59" t="s">
        <v>53</v>
      </c>
      <c r="C65" s="163" t="s">
        <v>477</v>
      </c>
      <c r="D65" s="164"/>
      <c r="E65" s="164"/>
      <c r="F65" s="164"/>
      <c r="G65" s="164"/>
      <c r="H65" s="164"/>
      <c r="I65" s="164"/>
      <c r="J65" s="164"/>
      <c r="K65" s="166"/>
    </row>
    <row r="66" spans="1:76" x14ac:dyDescent="0.25">
      <c r="A66" s="60" t="s">
        <v>4</v>
      </c>
      <c r="B66" s="61" t="s">
        <v>4</v>
      </c>
      <c r="C66" s="167" t="s">
        <v>478</v>
      </c>
      <c r="D66" s="168"/>
      <c r="E66" s="62" t="s">
        <v>69</v>
      </c>
      <c r="F66" s="62" t="s">
        <v>69</v>
      </c>
      <c r="G66" s="62" t="s">
        <v>69</v>
      </c>
      <c r="H66" s="63">
        <f>H67</f>
        <v>0</v>
      </c>
      <c r="I66" s="63">
        <f>I67</f>
        <v>0</v>
      </c>
      <c r="J66" s="63">
        <f>J67</f>
        <v>0</v>
      </c>
      <c r="K66" s="64" t="s">
        <v>4</v>
      </c>
    </row>
    <row r="67" spans="1:76" x14ac:dyDescent="0.25">
      <c r="A67" s="49" t="s">
        <v>4</v>
      </c>
      <c r="B67" s="50" t="s">
        <v>190</v>
      </c>
      <c r="C67" s="161" t="s">
        <v>40</v>
      </c>
      <c r="D67" s="162"/>
      <c r="E67" s="51" t="s">
        <v>69</v>
      </c>
      <c r="F67" s="51" t="s">
        <v>69</v>
      </c>
      <c r="G67" s="51" t="s">
        <v>69</v>
      </c>
      <c r="H67" s="28">
        <f>SUM(H68:H72)</f>
        <v>0</v>
      </c>
      <c r="I67" s="28">
        <f>SUM(I68:I72)</f>
        <v>0</v>
      </c>
      <c r="J67" s="28">
        <f>SUM(J68:J72)</f>
        <v>0</v>
      </c>
      <c r="K67" s="53" t="s">
        <v>4</v>
      </c>
      <c r="AI67" s="34" t="s">
        <v>149</v>
      </c>
      <c r="AS67" s="28">
        <f>SUM(AJ68:AJ72)</f>
        <v>0</v>
      </c>
      <c r="AT67" s="28">
        <f>SUM(AK68:AK72)</f>
        <v>0</v>
      </c>
      <c r="AU67" s="28">
        <f>SUM(AL68:AL72)</f>
        <v>0</v>
      </c>
    </row>
    <row r="68" spans="1:76" x14ac:dyDescent="0.25">
      <c r="A68" s="1" t="s">
        <v>260</v>
      </c>
      <c r="B68" s="2" t="s">
        <v>483</v>
      </c>
      <c r="C68" s="83" t="s">
        <v>484</v>
      </c>
      <c r="D68" s="78"/>
      <c r="E68" s="2" t="s">
        <v>111</v>
      </c>
      <c r="F68" s="54">
        <f>'Stavební rozpočet'!F172</f>
        <v>5</v>
      </c>
      <c r="G68" s="54">
        <f>'Stavební rozpočet'!G172</f>
        <v>0</v>
      </c>
      <c r="H68" s="54">
        <f>ROUND(F68*AO68,2)</f>
        <v>0</v>
      </c>
      <c r="I68" s="54">
        <f>ROUND(F68*AP68,2)</f>
        <v>0</v>
      </c>
      <c r="J68" s="54">
        <f>ROUND(F68*G68,2)</f>
        <v>0</v>
      </c>
      <c r="K68" s="56" t="s">
        <v>4</v>
      </c>
      <c r="Z68" s="54">
        <f>ROUND(IF(AQ68="5",BJ68,0),2)</f>
        <v>0</v>
      </c>
      <c r="AB68" s="54">
        <f>ROUND(IF(AQ68="1",BH68,0),2)</f>
        <v>0</v>
      </c>
      <c r="AC68" s="54">
        <f>ROUND(IF(AQ68="1",BI68,0),2)</f>
        <v>0</v>
      </c>
      <c r="AD68" s="54">
        <f>ROUND(IF(AQ68="7",BH68,0),2)</f>
        <v>0</v>
      </c>
      <c r="AE68" s="54">
        <f>ROUND(IF(AQ68="7",BI68,0),2)</f>
        <v>0</v>
      </c>
      <c r="AF68" s="54">
        <f>ROUND(IF(AQ68="2",BH68,0),2)</f>
        <v>0</v>
      </c>
      <c r="AG68" s="54">
        <f>ROUND(IF(AQ68="2",BI68,0),2)</f>
        <v>0</v>
      </c>
      <c r="AH68" s="54">
        <f>ROUND(IF(AQ68="0",BJ68,0),2)</f>
        <v>0</v>
      </c>
      <c r="AI68" s="34" t="s">
        <v>149</v>
      </c>
      <c r="AJ68" s="54">
        <f>IF(AN68=0,J68,0)</f>
        <v>0</v>
      </c>
      <c r="AK68" s="54">
        <f>IF(AN68=0,J68,0)</f>
        <v>0</v>
      </c>
      <c r="AL68" s="54">
        <f>IF(AN68=21,J68,0)</f>
        <v>0</v>
      </c>
      <c r="AN68" s="54">
        <v>21</v>
      </c>
      <c r="AO68" s="54">
        <f>G68*1</f>
        <v>0</v>
      </c>
      <c r="AP68" s="54">
        <f>G68*(1-1)</f>
        <v>0</v>
      </c>
      <c r="AQ68" s="57" t="s">
        <v>194</v>
      </c>
      <c r="AV68" s="54">
        <f>ROUND(AW68+AX68,2)</f>
        <v>0</v>
      </c>
      <c r="AW68" s="54">
        <f>ROUND(F68*AO68,2)</f>
        <v>0</v>
      </c>
      <c r="AX68" s="54">
        <f>ROUND(F68*AP68,2)</f>
        <v>0</v>
      </c>
      <c r="AY68" s="57" t="s">
        <v>195</v>
      </c>
      <c r="AZ68" s="57" t="s">
        <v>485</v>
      </c>
      <c r="BA68" s="34" t="s">
        <v>481</v>
      </c>
      <c r="BC68" s="54">
        <f>AW68+AX68</f>
        <v>0</v>
      </c>
      <c r="BD68" s="54">
        <f>G68/(100-BE68)*100</f>
        <v>0</v>
      </c>
      <c r="BE68" s="54">
        <v>0</v>
      </c>
      <c r="BF68" s="54">
        <f>68</f>
        <v>68</v>
      </c>
      <c r="BH68" s="54">
        <f>F68*AO68</f>
        <v>0</v>
      </c>
      <c r="BI68" s="54">
        <f>F68*AP68</f>
        <v>0</v>
      </c>
      <c r="BJ68" s="54">
        <f>F68*G68</f>
        <v>0</v>
      </c>
      <c r="BK68" s="57" t="s">
        <v>190</v>
      </c>
      <c r="BL68" s="54"/>
      <c r="BW68" s="54">
        <v>21</v>
      </c>
      <c r="BX68" s="3" t="s">
        <v>484</v>
      </c>
    </row>
    <row r="69" spans="1:76" ht="27" customHeight="1" x14ac:dyDescent="0.25">
      <c r="A69" s="58"/>
      <c r="B69" s="59" t="s">
        <v>53</v>
      </c>
      <c r="C69" s="163" t="s">
        <v>486</v>
      </c>
      <c r="D69" s="164"/>
      <c r="E69" s="164"/>
      <c r="F69" s="164"/>
      <c r="G69" s="164"/>
      <c r="H69" s="164"/>
      <c r="I69" s="164"/>
      <c r="J69" s="164"/>
      <c r="K69" s="166"/>
    </row>
    <row r="70" spans="1:76" ht="25.5" x14ac:dyDescent="0.25">
      <c r="A70" s="1" t="s">
        <v>263</v>
      </c>
      <c r="B70" s="2" t="s">
        <v>488</v>
      </c>
      <c r="C70" s="83" t="s">
        <v>489</v>
      </c>
      <c r="D70" s="78"/>
      <c r="E70" s="2" t="s">
        <v>214</v>
      </c>
      <c r="F70" s="54">
        <f>'Stavební rozpočet'!F174</f>
        <v>5</v>
      </c>
      <c r="G70" s="54">
        <f>'Stavební rozpočet'!G174</f>
        <v>0</v>
      </c>
      <c r="H70" s="54">
        <f>ROUND(F70*AO70,2)</f>
        <v>0</v>
      </c>
      <c r="I70" s="54">
        <f>ROUND(F70*AP70,2)</f>
        <v>0</v>
      </c>
      <c r="J70" s="54">
        <f>ROUND(F70*G70,2)</f>
        <v>0</v>
      </c>
      <c r="K70" s="56" t="s">
        <v>4</v>
      </c>
      <c r="Z70" s="54">
        <f>ROUND(IF(AQ70="5",BJ70,0),2)</f>
        <v>0</v>
      </c>
      <c r="AB70" s="54">
        <f>ROUND(IF(AQ70="1",BH70,0),2)</f>
        <v>0</v>
      </c>
      <c r="AC70" s="54">
        <f>ROUND(IF(AQ70="1",BI70,0),2)</f>
        <v>0</v>
      </c>
      <c r="AD70" s="54">
        <f>ROUND(IF(AQ70="7",BH70,0),2)</f>
        <v>0</v>
      </c>
      <c r="AE70" s="54">
        <f>ROUND(IF(AQ70="7",BI70,0),2)</f>
        <v>0</v>
      </c>
      <c r="AF70" s="54">
        <f>ROUND(IF(AQ70="2",BH70,0),2)</f>
        <v>0</v>
      </c>
      <c r="AG70" s="54">
        <f>ROUND(IF(AQ70="2",BI70,0),2)</f>
        <v>0</v>
      </c>
      <c r="AH70" s="54">
        <f>ROUND(IF(AQ70="0",BJ70,0),2)</f>
        <v>0</v>
      </c>
      <c r="AI70" s="34" t="s">
        <v>149</v>
      </c>
      <c r="AJ70" s="54">
        <f>IF(AN70=0,J70,0)</f>
        <v>0</v>
      </c>
      <c r="AK70" s="54">
        <f>IF(AN70=0,J70,0)</f>
        <v>0</v>
      </c>
      <c r="AL70" s="54">
        <f>IF(AN70=21,J70,0)</f>
        <v>0</v>
      </c>
      <c r="AN70" s="54">
        <v>21</v>
      </c>
      <c r="AO70" s="54">
        <f>G70*1</f>
        <v>0</v>
      </c>
      <c r="AP70" s="54">
        <f>G70*(1-1)</f>
        <v>0</v>
      </c>
      <c r="AQ70" s="57" t="s">
        <v>194</v>
      </c>
      <c r="AV70" s="54">
        <f>ROUND(AW70+AX70,2)</f>
        <v>0</v>
      </c>
      <c r="AW70" s="54">
        <f>ROUND(F70*AO70,2)</f>
        <v>0</v>
      </c>
      <c r="AX70" s="54">
        <f>ROUND(F70*AP70,2)</f>
        <v>0</v>
      </c>
      <c r="AY70" s="57" t="s">
        <v>195</v>
      </c>
      <c r="AZ70" s="57" t="s">
        <v>485</v>
      </c>
      <c r="BA70" s="34" t="s">
        <v>481</v>
      </c>
      <c r="BC70" s="54">
        <f>AW70+AX70</f>
        <v>0</v>
      </c>
      <c r="BD70" s="54">
        <f>G70/(100-BE70)*100</f>
        <v>0</v>
      </c>
      <c r="BE70" s="54">
        <v>0</v>
      </c>
      <c r="BF70" s="54">
        <f>70</f>
        <v>70</v>
      </c>
      <c r="BH70" s="54">
        <f>F70*AO70</f>
        <v>0</v>
      </c>
      <c r="BI70" s="54">
        <f>F70*AP70</f>
        <v>0</v>
      </c>
      <c r="BJ70" s="54">
        <f>F70*G70</f>
        <v>0</v>
      </c>
      <c r="BK70" s="57" t="s">
        <v>190</v>
      </c>
      <c r="BL70" s="54"/>
      <c r="BW70" s="54">
        <v>21</v>
      </c>
      <c r="BX70" s="3" t="s">
        <v>489</v>
      </c>
    </row>
    <row r="71" spans="1:76" ht="13.5" customHeight="1" x14ac:dyDescent="0.25">
      <c r="A71" s="58"/>
      <c r="B71" s="59" t="s">
        <v>53</v>
      </c>
      <c r="C71" s="163" t="s">
        <v>490</v>
      </c>
      <c r="D71" s="164"/>
      <c r="E71" s="164"/>
      <c r="F71" s="164"/>
      <c r="G71" s="164"/>
      <c r="H71" s="164"/>
      <c r="I71" s="164"/>
      <c r="J71" s="164"/>
      <c r="K71" s="166"/>
    </row>
    <row r="72" spans="1:76" x14ac:dyDescent="0.25">
      <c r="A72" s="1" t="s">
        <v>267</v>
      </c>
      <c r="B72" s="2" t="s">
        <v>492</v>
      </c>
      <c r="C72" s="83" t="s">
        <v>493</v>
      </c>
      <c r="D72" s="78"/>
      <c r="E72" s="2" t="s">
        <v>111</v>
      </c>
      <c r="F72" s="54">
        <f>'Stavební rozpočet'!F176</f>
        <v>24</v>
      </c>
      <c r="G72" s="54">
        <f>'Stavební rozpočet'!G176</f>
        <v>0</v>
      </c>
      <c r="H72" s="54">
        <f>ROUND(F72*AO72,2)</f>
        <v>0</v>
      </c>
      <c r="I72" s="54">
        <f>ROUND(F72*AP72,2)</f>
        <v>0</v>
      </c>
      <c r="J72" s="54">
        <f>ROUND(F72*G72,2)</f>
        <v>0</v>
      </c>
      <c r="K72" s="56" t="s">
        <v>4</v>
      </c>
      <c r="Z72" s="54">
        <f>ROUND(IF(AQ72="5",BJ72,0),2)</f>
        <v>0</v>
      </c>
      <c r="AB72" s="54">
        <f>ROUND(IF(AQ72="1",BH72,0),2)</f>
        <v>0</v>
      </c>
      <c r="AC72" s="54">
        <f>ROUND(IF(AQ72="1",BI72,0),2)</f>
        <v>0</v>
      </c>
      <c r="AD72" s="54">
        <f>ROUND(IF(AQ72="7",BH72,0),2)</f>
        <v>0</v>
      </c>
      <c r="AE72" s="54">
        <f>ROUND(IF(AQ72="7",BI72,0),2)</f>
        <v>0</v>
      </c>
      <c r="AF72" s="54">
        <f>ROUND(IF(AQ72="2",BH72,0),2)</f>
        <v>0</v>
      </c>
      <c r="AG72" s="54">
        <f>ROUND(IF(AQ72="2",BI72,0),2)</f>
        <v>0</v>
      </c>
      <c r="AH72" s="54">
        <f>ROUND(IF(AQ72="0",BJ72,0),2)</f>
        <v>0</v>
      </c>
      <c r="AI72" s="34" t="s">
        <v>149</v>
      </c>
      <c r="AJ72" s="54">
        <f>IF(AN72=0,J72,0)</f>
        <v>0</v>
      </c>
      <c r="AK72" s="54">
        <f>IF(AN72=0,J72,0)</f>
        <v>0</v>
      </c>
      <c r="AL72" s="54">
        <f>IF(AN72=21,J72,0)</f>
        <v>0</v>
      </c>
      <c r="AN72" s="54">
        <v>21</v>
      </c>
      <c r="AO72" s="54">
        <f>G72*1</f>
        <v>0</v>
      </c>
      <c r="AP72" s="54">
        <f>G72*(1-1)</f>
        <v>0</v>
      </c>
      <c r="AQ72" s="57" t="s">
        <v>194</v>
      </c>
      <c r="AV72" s="54">
        <f>ROUND(AW72+AX72,2)</f>
        <v>0</v>
      </c>
      <c r="AW72" s="54">
        <f>ROUND(F72*AO72,2)</f>
        <v>0</v>
      </c>
      <c r="AX72" s="54">
        <f>ROUND(F72*AP72,2)</f>
        <v>0</v>
      </c>
      <c r="AY72" s="57" t="s">
        <v>195</v>
      </c>
      <c r="AZ72" s="57" t="s">
        <v>485</v>
      </c>
      <c r="BA72" s="34" t="s">
        <v>481</v>
      </c>
      <c r="BC72" s="54">
        <f>AW72+AX72</f>
        <v>0</v>
      </c>
      <c r="BD72" s="54">
        <f>G72/(100-BE72)*100</f>
        <v>0</v>
      </c>
      <c r="BE72" s="54">
        <v>0</v>
      </c>
      <c r="BF72" s="54">
        <f>72</f>
        <v>72</v>
      </c>
      <c r="BH72" s="54">
        <f>F72*AO72</f>
        <v>0</v>
      </c>
      <c r="BI72" s="54">
        <f>F72*AP72</f>
        <v>0</v>
      </c>
      <c r="BJ72" s="54">
        <f>F72*G72</f>
        <v>0</v>
      </c>
      <c r="BK72" s="57" t="s">
        <v>190</v>
      </c>
      <c r="BL72" s="54"/>
      <c r="BW72" s="54">
        <v>21</v>
      </c>
      <c r="BX72" s="3" t="s">
        <v>493</v>
      </c>
    </row>
    <row r="73" spans="1:76" ht="13.5" customHeight="1" x14ac:dyDescent="0.25">
      <c r="A73" s="58"/>
      <c r="B73" s="59" t="s">
        <v>53</v>
      </c>
      <c r="C73" s="163" t="s">
        <v>494</v>
      </c>
      <c r="D73" s="164"/>
      <c r="E73" s="164"/>
      <c r="F73" s="164"/>
      <c r="G73" s="164"/>
      <c r="H73" s="164"/>
      <c r="I73" s="164"/>
      <c r="J73" s="164"/>
      <c r="K73" s="166"/>
    </row>
    <row r="74" spans="1:76" x14ac:dyDescent="0.25">
      <c r="A74" s="60" t="s">
        <v>4</v>
      </c>
      <c r="B74" s="61" t="s">
        <v>4</v>
      </c>
      <c r="C74" s="167" t="s">
        <v>495</v>
      </c>
      <c r="D74" s="168"/>
      <c r="E74" s="62" t="s">
        <v>69</v>
      </c>
      <c r="F74" s="62" t="s">
        <v>69</v>
      </c>
      <c r="G74" s="62" t="s">
        <v>69</v>
      </c>
      <c r="H74" s="63">
        <f>H75</f>
        <v>0</v>
      </c>
      <c r="I74" s="63">
        <f>I75</f>
        <v>0</v>
      </c>
      <c r="J74" s="63">
        <f>J75</f>
        <v>0</v>
      </c>
      <c r="K74" s="64" t="s">
        <v>4</v>
      </c>
    </row>
    <row r="75" spans="1:76" x14ac:dyDescent="0.25">
      <c r="A75" s="49" t="s">
        <v>4</v>
      </c>
      <c r="B75" s="50" t="s">
        <v>190</v>
      </c>
      <c r="C75" s="161" t="s">
        <v>40</v>
      </c>
      <c r="D75" s="162"/>
      <c r="E75" s="51" t="s">
        <v>69</v>
      </c>
      <c r="F75" s="51" t="s">
        <v>69</v>
      </c>
      <c r="G75" s="51" t="s">
        <v>69</v>
      </c>
      <c r="H75" s="28">
        <f>SUM(H76:H80)</f>
        <v>0</v>
      </c>
      <c r="I75" s="28">
        <f>SUM(I76:I80)</f>
        <v>0</v>
      </c>
      <c r="J75" s="28">
        <f>SUM(J76:J80)</f>
        <v>0</v>
      </c>
      <c r="K75" s="53" t="s">
        <v>4</v>
      </c>
      <c r="AI75" s="34" t="s">
        <v>127</v>
      </c>
      <c r="AS75" s="28">
        <f>SUM(AJ76:AJ80)</f>
        <v>0</v>
      </c>
      <c r="AT75" s="28">
        <f>SUM(AK76:AK80)</f>
        <v>0</v>
      </c>
      <c r="AU75" s="28">
        <f>SUM(AL76:AL80)</f>
        <v>0</v>
      </c>
    </row>
    <row r="76" spans="1:76" x14ac:dyDescent="0.25">
      <c r="A76" s="1" t="s">
        <v>270</v>
      </c>
      <c r="B76" s="2" t="s">
        <v>537</v>
      </c>
      <c r="C76" s="83" t="s">
        <v>538</v>
      </c>
      <c r="D76" s="78"/>
      <c r="E76" s="2" t="s">
        <v>136</v>
      </c>
      <c r="F76" s="54">
        <f>'Stavební rozpočet'!F201</f>
        <v>64</v>
      </c>
      <c r="G76" s="54">
        <f>'Stavební rozpočet'!G201</f>
        <v>0</v>
      </c>
      <c r="H76" s="54">
        <f>ROUND(F76*AO76,2)</f>
        <v>0</v>
      </c>
      <c r="I76" s="54">
        <f>ROUND(F76*AP76,2)</f>
        <v>0</v>
      </c>
      <c r="J76" s="54">
        <f>ROUND(F76*G76,2)</f>
        <v>0</v>
      </c>
      <c r="K76" s="56" t="s">
        <v>120</v>
      </c>
      <c r="Z76" s="54">
        <f>ROUND(IF(AQ76="5",BJ76,0),2)</f>
        <v>0</v>
      </c>
      <c r="AB76" s="54">
        <f>ROUND(IF(AQ76="1",BH76,0),2)</f>
        <v>0</v>
      </c>
      <c r="AC76" s="54">
        <f>ROUND(IF(AQ76="1",BI76,0),2)</f>
        <v>0</v>
      </c>
      <c r="AD76" s="54">
        <f>ROUND(IF(AQ76="7",BH76,0),2)</f>
        <v>0</v>
      </c>
      <c r="AE76" s="54">
        <f>ROUND(IF(AQ76="7",BI76,0),2)</f>
        <v>0</v>
      </c>
      <c r="AF76" s="54">
        <f>ROUND(IF(AQ76="2",BH76,0),2)</f>
        <v>0</v>
      </c>
      <c r="AG76" s="54">
        <f>ROUND(IF(AQ76="2",BI76,0),2)</f>
        <v>0</v>
      </c>
      <c r="AH76" s="54">
        <f>ROUND(IF(AQ76="0",BJ76,0),2)</f>
        <v>0</v>
      </c>
      <c r="AI76" s="34" t="s">
        <v>127</v>
      </c>
      <c r="AJ76" s="54">
        <f>IF(AN76=0,J76,0)</f>
        <v>0</v>
      </c>
      <c r="AK76" s="54">
        <f>IF(AN76=0,J76,0)</f>
        <v>0</v>
      </c>
      <c r="AL76" s="54">
        <f>IF(AN76=21,J76,0)</f>
        <v>0</v>
      </c>
      <c r="AN76" s="54">
        <v>21</v>
      </c>
      <c r="AO76" s="54">
        <f>G76*1</f>
        <v>0</v>
      </c>
      <c r="AP76" s="54">
        <f>G76*(1-1)</f>
        <v>0</v>
      </c>
      <c r="AQ76" s="57" t="s">
        <v>194</v>
      </c>
      <c r="AV76" s="54">
        <f>ROUND(AW76+AX76,2)</f>
        <v>0</v>
      </c>
      <c r="AW76" s="54">
        <f>ROUND(F76*AO76,2)</f>
        <v>0</v>
      </c>
      <c r="AX76" s="54">
        <f>ROUND(F76*AP76,2)</f>
        <v>0</v>
      </c>
      <c r="AY76" s="57" t="s">
        <v>195</v>
      </c>
      <c r="AZ76" s="57" t="s">
        <v>539</v>
      </c>
      <c r="BA76" s="34" t="s">
        <v>132</v>
      </c>
      <c r="BC76" s="54">
        <f>AW76+AX76</f>
        <v>0</v>
      </c>
      <c r="BD76" s="54">
        <f>G76/(100-BE76)*100</f>
        <v>0</v>
      </c>
      <c r="BE76" s="54">
        <v>0</v>
      </c>
      <c r="BF76" s="54">
        <f>76</f>
        <v>76</v>
      </c>
      <c r="BH76" s="54">
        <f>F76*AO76</f>
        <v>0</v>
      </c>
      <c r="BI76" s="54">
        <f>F76*AP76</f>
        <v>0</v>
      </c>
      <c r="BJ76" s="54">
        <f>F76*G76</f>
        <v>0</v>
      </c>
      <c r="BK76" s="57" t="s">
        <v>190</v>
      </c>
      <c r="BL76" s="54"/>
      <c r="BW76" s="54">
        <v>21</v>
      </c>
      <c r="BX76" s="3" t="s">
        <v>538</v>
      </c>
    </row>
    <row r="77" spans="1:76" x14ac:dyDescent="0.25">
      <c r="A77" s="1" t="s">
        <v>273</v>
      </c>
      <c r="B77" s="2" t="s">
        <v>471</v>
      </c>
      <c r="C77" s="83" t="s">
        <v>541</v>
      </c>
      <c r="D77" s="78"/>
      <c r="E77" s="2" t="s">
        <v>136</v>
      </c>
      <c r="F77" s="54">
        <f>'Stavební rozpočet'!F202</f>
        <v>32</v>
      </c>
      <c r="G77" s="54">
        <f>'Stavební rozpočet'!G202</f>
        <v>0</v>
      </c>
      <c r="H77" s="54">
        <f>ROUND(F77*AO77,2)</f>
        <v>0</v>
      </c>
      <c r="I77" s="54">
        <f>ROUND(F77*AP77,2)</f>
        <v>0</v>
      </c>
      <c r="J77" s="54">
        <f>ROUND(F77*G77,2)</f>
        <v>0</v>
      </c>
      <c r="K77" s="56" t="s">
        <v>120</v>
      </c>
      <c r="Z77" s="54">
        <f>ROUND(IF(AQ77="5",BJ77,0),2)</f>
        <v>0</v>
      </c>
      <c r="AB77" s="54">
        <f>ROUND(IF(AQ77="1",BH77,0),2)</f>
        <v>0</v>
      </c>
      <c r="AC77" s="54">
        <f>ROUND(IF(AQ77="1",BI77,0),2)</f>
        <v>0</v>
      </c>
      <c r="AD77" s="54">
        <f>ROUND(IF(AQ77="7",BH77,0),2)</f>
        <v>0</v>
      </c>
      <c r="AE77" s="54">
        <f>ROUND(IF(AQ77="7",BI77,0),2)</f>
        <v>0</v>
      </c>
      <c r="AF77" s="54">
        <f>ROUND(IF(AQ77="2",BH77,0),2)</f>
        <v>0</v>
      </c>
      <c r="AG77" s="54">
        <f>ROUND(IF(AQ77="2",BI77,0),2)</f>
        <v>0</v>
      </c>
      <c r="AH77" s="54">
        <f>ROUND(IF(AQ77="0",BJ77,0),2)</f>
        <v>0</v>
      </c>
      <c r="AI77" s="34" t="s">
        <v>127</v>
      </c>
      <c r="AJ77" s="54">
        <f>IF(AN77=0,J77,0)</f>
        <v>0</v>
      </c>
      <c r="AK77" s="54">
        <f>IF(AN77=0,J77,0)</f>
        <v>0</v>
      </c>
      <c r="AL77" s="54">
        <f>IF(AN77=21,J77,0)</f>
        <v>0</v>
      </c>
      <c r="AN77" s="54">
        <v>21</v>
      </c>
      <c r="AO77" s="54">
        <f>G77*1</f>
        <v>0</v>
      </c>
      <c r="AP77" s="54">
        <f>G77*(1-1)</f>
        <v>0</v>
      </c>
      <c r="AQ77" s="57" t="s">
        <v>194</v>
      </c>
      <c r="AV77" s="54">
        <f>ROUND(AW77+AX77,2)</f>
        <v>0</v>
      </c>
      <c r="AW77" s="54">
        <f>ROUND(F77*AO77,2)</f>
        <v>0</v>
      </c>
      <c r="AX77" s="54">
        <f>ROUND(F77*AP77,2)</f>
        <v>0</v>
      </c>
      <c r="AY77" s="57" t="s">
        <v>195</v>
      </c>
      <c r="AZ77" s="57" t="s">
        <v>539</v>
      </c>
      <c r="BA77" s="34" t="s">
        <v>132</v>
      </c>
      <c r="BC77" s="54">
        <f>AW77+AX77</f>
        <v>0</v>
      </c>
      <c r="BD77" s="54">
        <f>G77/(100-BE77)*100</f>
        <v>0</v>
      </c>
      <c r="BE77" s="54">
        <v>0</v>
      </c>
      <c r="BF77" s="54">
        <f>77</f>
        <v>77</v>
      </c>
      <c r="BH77" s="54">
        <f>F77*AO77</f>
        <v>0</v>
      </c>
      <c r="BI77" s="54">
        <f>F77*AP77</f>
        <v>0</v>
      </c>
      <c r="BJ77" s="54">
        <f>F77*G77</f>
        <v>0</v>
      </c>
      <c r="BK77" s="57" t="s">
        <v>190</v>
      </c>
      <c r="BL77" s="54"/>
      <c r="BW77" s="54">
        <v>21</v>
      </c>
      <c r="BX77" s="3" t="s">
        <v>541</v>
      </c>
    </row>
    <row r="78" spans="1:76" x14ac:dyDescent="0.25">
      <c r="A78" s="1" t="s">
        <v>277</v>
      </c>
      <c r="B78" s="2" t="s">
        <v>543</v>
      </c>
      <c r="C78" s="83" t="s">
        <v>544</v>
      </c>
      <c r="D78" s="78"/>
      <c r="E78" s="2" t="s">
        <v>119</v>
      </c>
      <c r="F78" s="54">
        <f>'Stavební rozpočet'!F203</f>
        <v>99.8</v>
      </c>
      <c r="G78" s="54">
        <f>'Stavební rozpočet'!G203</f>
        <v>0</v>
      </c>
      <c r="H78" s="54">
        <f>ROUND(F78*AO78,2)</f>
        <v>0</v>
      </c>
      <c r="I78" s="54">
        <f>ROUND(F78*AP78,2)</f>
        <v>0</v>
      </c>
      <c r="J78" s="54">
        <f>ROUND(F78*G78,2)</f>
        <v>0</v>
      </c>
      <c r="K78" s="56" t="s">
        <v>4</v>
      </c>
      <c r="Z78" s="54">
        <f>ROUND(IF(AQ78="5",BJ78,0),2)</f>
        <v>0</v>
      </c>
      <c r="AB78" s="54">
        <f>ROUND(IF(AQ78="1",BH78,0),2)</f>
        <v>0</v>
      </c>
      <c r="AC78" s="54">
        <f>ROUND(IF(AQ78="1",BI78,0),2)</f>
        <v>0</v>
      </c>
      <c r="AD78" s="54">
        <f>ROUND(IF(AQ78="7",BH78,0),2)</f>
        <v>0</v>
      </c>
      <c r="AE78" s="54">
        <f>ROUND(IF(AQ78="7",BI78,0),2)</f>
        <v>0</v>
      </c>
      <c r="AF78" s="54">
        <f>ROUND(IF(AQ78="2",BH78,0),2)</f>
        <v>0</v>
      </c>
      <c r="AG78" s="54">
        <f>ROUND(IF(AQ78="2",BI78,0),2)</f>
        <v>0</v>
      </c>
      <c r="AH78" s="54">
        <f>ROUND(IF(AQ78="0",BJ78,0),2)</f>
        <v>0</v>
      </c>
      <c r="AI78" s="34" t="s">
        <v>127</v>
      </c>
      <c r="AJ78" s="54">
        <f>IF(AN78=0,J78,0)</f>
        <v>0</v>
      </c>
      <c r="AK78" s="54">
        <f>IF(AN78=0,J78,0)</f>
        <v>0</v>
      </c>
      <c r="AL78" s="54">
        <f>IF(AN78=21,J78,0)</f>
        <v>0</v>
      </c>
      <c r="AN78" s="54">
        <v>21</v>
      </c>
      <c r="AO78" s="54">
        <f>G78*1</f>
        <v>0</v>
      </c>
      <c r="AP78" s="54">
        <f>G78*(1-1)</f>
        <v>0</v>
      </c>
      <c r="AQ78" s="57" t="s">
        <v>194</v>
      </c>
      <c r="AV78" s="54">
        <f>ROUND(AW78+AX78,2)</f>
        <v>0</v>
      </c>
      <c r="AW78" s="54">
        <f>ROUND(F78*AO78,2)</f>
        <v>0</v>
      </c>
      <c r="AX78" s="54">
        <f>ROUND(F78*AP78,2)</f>
        <v>0</v>
      </c>
      <c r="AY78" s="57" t="s">
        <v>195</v>
      </c>
      <c r="AZ78" s="57" t="s">
        <v>539</v>
      </c>
      <c r="BA78" s="34" t="s">
        <v>132</v>
      </c>
      <c r="BC78" s="54">
        <f>AW78+AX78</f>
        <v>0</v>
      </c>
      <c r="BD78" s="54">
        <f>G78/(100-BE78)*100</f>
        <v>0</v>
      </c>
      <c r="BE78" s="54">
        <v>0</v>
      </c>
      <c r="BF78" s="54">
        <f>78</f>
        <v>78</v>
      </c>
      <c r="BH78" s="54">
        <f>F78*AO78</f>
        <v>0</v>
      </c>
      <c r="BI78" s="54">
        <f>F78*AP78</f>
        <v>0</v>
      </c>
      <c r="BJ78" s="54">
        <f>F78*G78</f>
        <v>0</v>
      </c>
      <c r="BK78" s="57" t="s">
        <v>190</v>
      </c>
      <c r="BL78" s="54"/>
      <c r="BW78" s="54">
        <v>21</v>
      </c>
      <c r="BX78" s="3" t="s">
        <v>544</v>
      </c>
    </row>
    <row r="79" spans="1:76" ht="81" customHeight="1" x14ac:dyDescent="0.25">
      <c r="A79" s="58"/>
      <c r="B79" s="59" t="s">
        <v>53</v>
      </c>
      <c r="C79" s="163" t="s">
        <v>545</v>
      </c>
      <c r="D79" s="164"/>
      <c r="E79" s="164"/>
      <c r="F79" s="164"/>
      <c r="G79" s="164"/>
      <c r="H79" s="164"/>
      <c r="I79" s="164"/>
      <c r="J79" s="164"/>
      <c r="K79" s="166"/>
    </row>
    <row r="80" spans="1:76" x14ac:dyDescent="0.25">
      <c r="A80" s="1" t="s">
        <v>280</v>
      </c>
      <c r="B80" s="2" t="s">
        <v>543</v>
      </c>
      <c r="C80" s="83" t="s">
        <v>547</v>
      </c>
      <c r="D80" s="78"/>
      <c r="E80" s="2" t="s">
        <v>119</v>
      </c>
      <c r="F80" s="54">
        <f>'Stavební rozpočet'!F205</f>
        <v>126.56</v>
      </c>
      <c r="G80" s="54">
        <f>'Stavební rozpočet'!G205</f>
        <v>0</v>
      </c>
      <c r="H80" s="54">
        <f>ROUND(F80*AO80,2)</f>
        <v>0</v>
      </c>
      <c r="I80" s="54">
        <f>ROUND(F80*AP80,2)</f>
        <v>0</v>
      </c>
      <c r="J80" s="54">
        <f>ROUND(F80*G80,2)</f>
        <v>0</v>
      </c>
      <c r="K80" s="56" t="s">
        <v>4</v>
      </c>
      <c r="Z80" s="54">
        <f>ROUND(IF(AQ80="5",BJ80,0),2)</f>
        <v>0</v>
      </c>
      <c r="AB80" s="54">
        <f>ROUND(IF(AQ80="1",BH80,0),2)</f>
        <v>0</v>
      </c>
      <c r="AC80" s="54">
        <f>ROUND(IF(AQ80="1",BI80,0),2)</f>
        <v>0</v>
      </c>
      <c r="AD80" s="54">
        <f>ROUND(IF(AQ80="7",BH80,0),2)</f>
        <v>0</v>
      </c>
      <c r="AE80" s="54">
        <f>ROUND(IF(AQ80="7",BI80,0),2)</f>
        <v>0</v>
      </c>
      <c r="AF80" s="54">
        <f>ROUND(IF(AQ80="2",BH80,0),2)</f>
        <v>0</v>
      </c>
      <c r="AG80" s="54">
        <f>ROUND(IF(AQ80="2",BI80,0),2)</f>
        <v>0</v>
      </c>
      <c r="AH80" s="54">
        <f>ROUND(IF(AQ80="0",BJ80,0),2)</f>
        <v>0</v>
      </c>
      <c r="AI80" s="34" t="s">
        <v>127</v>
      </c>
      <c r="AJ80" s="54">
        <f>IF(AN80=0,J80,0)</f>
        <v>0</v>
      </c>
      <c r="AK80" s="54">
        <f>IF(AN80=0,J80,0)</f>
        <v>0</v>
      </c>
      <c r="AL80" s="54">
        <f>IF(AN80=21,J80,0)</f>
        <v>0</v>
      </c>
      <c r="AN80" s="54">
        <v>21</v>
      </c>
      <c r="AO80" s="54">
        <f>G80*1</f>
        <v>0</v>
      </c>
      <c r="AP80" s="54">
        <f>G80*(1-1)</f>
        <v>0</v>
      </c>
      <c r="AQ80" s="57" t="s">
        <v>194</v>
      </c>
      <c r="AV80" s="54">
        <f>ROUND(AW80+AX80,2)</f>
        <v>0</v>
      </c>
      <c r="AW80" s="54">
        <f>ROUND(F80*AO80,2)</f>
        <v>0</v>
      </c>
      <c r="AX80" s="54">
        <f>ROUND(F80*AP80,2)</f>
        <v>0</v>
      </c>
      <c r="AY80" s="57" t="s">
        <v>195</v>
      </c>
      <c r="AZ80" s="57" t="s">
        <v>539</v>
      </c>
      <c r="BA80" s="34" t="s">
        <v>132</v>
      </c>
      <c r="BC80" s="54">
        <f>AW80+AX80</f>
        <v>0</v>
      </c>
      <c r="BD80" s="54">
        <f>G80/(100-BE80)*100</f>
        <v>0</v>
      </c>
      <c r="BE80" s="54">
        <v>0</v>
      </c>
      <c r="BF80" s="54">
        <f>80</f>
        <v>80</v>
      </c>
      <c r="BH80" s="54">
        <f>F80*AO80</f>
        <v>0</v>
      </c>
      <c r="BI80" s="54">
        <f>F80*AP80</f>
        <v>0</v>
      </c>
      <c r="BJ80" s="54">
        <f>F80*G80</f>
        <v>0</v>
      </c>
      <c r="BK80" s="57" t="s">
        <v>190</v>
      </c>
      <c r="BL80" s="54"/>
      <c r="BW80" s="54">
        <v>21</v>
      </c>
      <c r="BX80" s="3" t="s">
        <v>547</v>
      </c>
    </row>
    <row r="81" spans="1:11" ht="81" customHeight="1" x14ac:dyDescent="0.25">
      <c r="A81" s="65"/>
      <c r="B81" s="66" t="s">
        <v>53</v>
      </c>
      <c r="C81" s="169" t="s">
        <v>545</v>
      </c>
      <c r="D81" s="170"/>
      <c r="E81" s="170"/>
      <c r="F81" s="170"/>
      <c r="G81" s="170"/>
      <c r="H81" s="170"/>
      <c r="I81" s="170"/>
      <c r="J81" s="170"/>
      <c r="K81" s="172"/>
    </row>
    <row r="82" spans="1:11" x14ac:dyDescent="0.25">
      <c r="H82" s="173" t="s">
        <v>548</v>
      </c>
      <c r="I82" s="173"/>
      <c r="J82" s="67">
        <f>ROUND(J13+J16+J20+J31+J42+J51+J57+J60+J67+J75,2)</f>
        <v>0</v>
      </c>
    </row>
    <row r="83" spans="1:11" x14ac:dyDescent="0.25">
      <c r="A83" s="68" t="s">
        <v>53</v>
      </c>
    </row>
    <row r="84" spans="1:11" ht="12.75" customHeight="1" x14ac:dyDescent="0.25">
      <c r="A84" s="83" t="s">
        <v>4</v>
      </c>
      <c r="B84" s="78"/>
      <c r="C84" s="78"/>
      <c r="D84" s="78"/>
      <c r="E84" s="78"/>
      <c r="F84" s="78"/>
      <c r="G84" s="78"/>
      <c r="H84" s="78"/>
      <c r="I84" s="78"/>
      <c r="J84" s="78"/>
      <c r="K84" s="78"/>
    </row>
  </sheetData>
  <sheetProtection password="CC59" sheet="1"/>
  <mergeCells count="100">
    <mergeCell ref="C80:D80"/>
    <mergeCell ref="C81:K81"/>
    <mergeCell ref="H82:I82"/>
    <mergeCell ref="A84:K84"/>
    <mergeCell ref="C75:D75"/>
    <mergeCell ref="C76:D76"/>
    <mergeCell ref="C77:D77"/>
    <mergeCell ref="C78:D78"/>
    <mergeCell ref="C79:K79"/>
    <mergeCell ref="C70:D70"/>
    <mergeCell ref="C71:K71"/>
    <mergeCell ref="C72:D72"/>
    <mergeCell ref="C73:K73"/>
    <mergeCell ref="C74:D74"/>
    <mergeCell ref="C65:K65"/>
    <mergeCell ref="C66:D66"/>
    <mergeCell ref="C67:D67"/>
    <mergeCell ref="C68:D68"/>
    <mergeCell ref="C69:K69"/>
    <mergeCell ref="C60:D60"/>
    <mergeCell ref="C61:D61"/>
    <mergeCell ref="C62:D62"/>
    <mergeCell ref="C63:D63"/>
    <mergeCell ref="C64:D64"/>
    <mergeCell ref="C55:D55"/>
    <mergeCell ref="C56:D56"/>
    <mergeCell ref="C57:D57"/>
    <mergeCell ref="C58:D58"/>
    <mergeCell ref="C59:K59"/>
    <mergeCell ref="C50:D50"/>
    <mergeCell ref="C51:D51"/>
    <mergeCell ref="C52:D52"/>
    <mergeCell ref="C53:D53"/>
    <mergeCell ref="C54:D54"/>
    <mergeCell ref="C45:D45"/>
    <mergeCell ref="C46:D46"/>
    <mergeCell ref="C47:D47"/>
    <mergeCell ref="C48:D48"/>
    <mergeCell ref="C49:D49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0:D30"/>
    <mergeCell ref="C31:D31"/>
    <mergeCell ref="C32:D32"/>
    <mergeCell ref="C33:D33"/>
    <mergeCell ref="C34:D34"/>
    <mergeCell ref="C25:D25"/>
    <mergeCell ref="C26:D26"/>
    <mergeCell ref="C27:D27"/>
    <mergeCell ref="C28:D28"/>
    <mergeCell ref="C29:K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1:D11"/>
    <mergeCell ref="H10:J10"/>
    <mergeCell ref="C12:D12"/>
    <mergeCell ref="C13:D13"/>
    <mergeCell ref="C14:D14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Krycí list rozpočtu</vt:lpstr>
      <vt:lpstr>VORN</vt:lpstr>
      <vt:lpstr>Stavební rozpočet</vt:lpstr>
      <vt:lpstr>Rozpočet - práce</vt:lpstr>
      <vt:lpstr>Rozpočet - materiál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Atelier Krejcirik</cp:lastModifiedBy>
  <dcterms:created xsi:type="dcterms:W3CDTF">2021-06-10T20:06:38Z</dcterms:created>
  <dcterms:modified xsi:type="dcterms:W3CDTF">2026-02-10T14:08:48Z</dcterms:modified>
</cp:coreProperties>
</file>